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4" r:id="rId1"/>
    <sheet name="Hoja2" sheetId="2" r:id="rId2"/>
  </sheets>
  <definedNames>
    <definedName name="_xlnm.Print_Area" localSheetId="0">Hoja1!$A$108:$R$183</definedName>
    <definedName name="Cabina">Hoja1!$N$88:$N$92</definedName>
    <definedName name="Caterpillar">Hoja1!$N$94:$N$99</definedName>
    <definedName name="Cummins">Hoja1!$L$94:$L$105</definedName>
    <definedName name="Detroit">Hoja1!$M$94:$M$100</definedName>
    <definedName name="Diferencial">Hoja1!$T$94:$T$99</definedName>
    <definedName name="Edo_Conserv">Hoja1!$B$22:$B$28</definedName>
    <definedName name="Edo_Consev_Comparables">Hoja1!$R$79:$R$85</definedName>
    <definedName name="Freightliner">Hoja1!$O$79:$O$82</definedName>
    <definedName name="Freno_Motor">Hoja1!$Q$88:$Q$89</definedName>
    <definedName name="International">Hoja1!$N$79:$N$83</definedName>
    <definedName name="Kenworth">Hoja1!$L$79:$L$86</definedName>
    <definedName name="Marca">Hoja1!$J$79:$J$83</definedName>
    <definedName name="Motor">Hoja1!$L$88:$L$91</definedName>
    <definedName name="Suspensión">Hoja1!$R$94:$R$97</definedName>
    <definedName name="Valor_Rescate">Hoja1!$Q$79:$Q$80</definedName>
    <definedName name="Volvo">Hoja1!$M$79:$M$82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4" i="4" l="1"/>
  <c r="M124" i="4"/>
  <c r="I124" i="4"/>
  <c r="R134" i="4" l="1"/>
  <c r="R133" i="4"/>
  <c r="R132" i="4"/>
  <c r="R131" i="4"/>
  <c r="R130" i="4"/>
  <c r="R129" i="4"/>
  <c r="R128" i="4"/>
  <c r="R127" i="4"/>
  <c r="R126" i="4"/>
  <c r="R125" i="4"/>
  <c r="N134" i="4"/>
  <c r="N133" i="4"/>
  <c r="N132" i="4"/>
  <c r="N131" i="4"/>
  <c r="N130" i="4"/>
  <c r="N129" i="4"/>
  <c r="N128" i="4"/>
  <c r="N127" i="4"/>
  <c r="N126" i="4"/>
  <c r="N125" i="4"/>
  <c r="J134" i="4"/>
  <c r="J133" i="4"/>
  <c r="J132" i="4"/>
  <c r="J131" i="4"/>
  <c r="J130" i="4"/>
  <c r="J129" i="4"/>
  <c r="J128" i="4"/>
  <c r="J127" i="4"/>
  <c r="J126" i="4"/>
  <c r="J125" i="4"/>
  <c r="C126" i="4"/>
  <c r="C127" i="4"/>
  <c r="C128" i="4"/>
  <c r="C129" i="4"/>
  <c r="C130" i="4"/>
  <c r="C131" i="4"/>
  <c r="C132" i="4"/>
  <c r="C133" i="4"/>
  <c r="C134" i="4"/>
  <c r="C125" i="4"/>
  <c r="B124" i="4"/>
  <c r="Y52" i="4" l="1"/>
  <c r="Y53" i="4"/>
  <c r="Y54" i="4"/>
  <c r="Y55" i="4"/>
  <c r="Y56" i="4"/>
  <c r="Y57" i="4"/>
  <c r="Y51" i="4"/>
  <c r="R138" i="4" s="1"/>
  <c r="F163" i="4" s="1"/>
  <c r="C138" i="4" l="1"/>
  <c r="J138" i="4"/>
  <c r="F161" i="4" s="1"/>
  <c r="N138" i="4"/>
  <c r="F162" i="4" s="1"/>
  <c r="R113" i="4"/>
  <c r="N113" i="4"/>
  <c r="J113" i="4"/>
  <c r="J160" i="4"/>
  <c r="R160" i="4"/>
  <c r="N160" i="4"/>
  <c r="F164" i="4" l="1"/>
  <c r="J152" i="4" s="1"/>
  <c r="F158" i="4"/>
  <c r="F157" i="4"/>
  <c r="F156" i="4"/>
  <c r="F148" i="4"/>
  <c r="F147" i="4"/>
  <c r="F146" i="4"/>
  <c r="F143" i="4"/>
  <c r="F142" i="4"/>
  <c r="F141" i="4"/>
  <c r="H124" i="4"/>
  <c r="P124" i="4"/>
  <c r="L124" i="4"/>
  <c r="F159" i="4" l="1"/>
  <c r="F149" i="4"/>
  <c r="C151" i="4" s="1"/>
  <c r="F144" i="4"/>
  <c r="B119" i="4" s="1"/>
  <c r="R124" i="4"/>
  <c r="F138" i="4" s="1"/>
  <c r="J124" i="4"/>
  <c r="F136" i="4" s="1"/>
  <c r="N124" i="4"/>
  <c r="F137" i="4" s="1"/>
  <c r="C4" i="4"/>
  <c r="F139" i="4" l="1"/>
  <c r="B14" i="4"/>
  <c r="C160" i="4" l="1"/>
  <c r="C157" i="4" s="1"/>
  <c r="A124" i="4"/>
  <c r="Y43" i="4"/>
  <c r="Y44" i="4"/>
  <c r="Y45" i="4"/>
  <c r="Y46" i="4"/>
  <c r="Y47" i="4"/>
  <c r="Y48" i="4"/>
  <c r="Y42" i="4"/>
  <c r="X43" i="4"/>
  <c r="X44" i="4"/>
  <c r="X45" i="4"/>
  <c r="X46" i="4"/>
  <c r="X47" i="4"/>
  <c r="X48" i="4"/>
  <c r="X42" i="4"/>
  <c r="B115" i="4"/>
  <c r="B118" i="4"/>
  <c r="B117" i="4" s="1"/>
  <c r="C124" i="4" l="1"/>
  <c r="C156" i="4" s="1"/>
  <c r="C155" i="4"/>
  <c r="C39" i="4" l="1"/>
  <c r="B39" i="4" s="1"/>
  <c r="C49" i="4" s="1"/>
  <c r="C76" i="4" l="1"/>
  <c r="C68" i="4"/>
  <c r="C52" i="4"/>
  <c r="C42" i="4"/>
  <c r="C45" i="4"/>
  <c r="C75" i="4"/>
  <c r="C71" i="4"/>
  <c r="C67" i="4"/>
  <c r="C63" i="4"/>
  <c r="C59" i="4"/>
  <c r="C55" i="4"/>
  <c r="C51" i="4"/>
  <c r="C72" i="4"/>
  <c r="C64" i="4"/>
  <c r="C56" i="4"/>
  <c r="C48" i="4"/>
  <c r="C44" i="4"/>
  <c r="C74" i="4"/>
  <c r="C70" i="4"/>
  <c r="C66" i="4"/>
  <c r="C62" i="4"/>
  <c r="C58" i="4"/>
  <c r="C54" i="4"/>
  <c r="C50" i="4"/>
  <c r="C46" i="4"/>
  <c r="C60" i="4"/>
  <c r="C47" i="4"/>
  <c r="C43" i="4"/>
  <c r="C73" i="4"/>
  <c r="C69" i="4"/>
  <c r="C65" i="4"/>
  <c r="C61" i="4"/>
  <c r="C57" i="4"/>
  <c r="C53" i="4"/>
  <c r="C13" i="4" l="1"/>
  <c r="U39" i="4" s="1"/>
  <c r="T39" i="4" s="1"/>
  <c r="C8" i="4"/>
  <c r="K39" i="4" s="1"/>
  <c r="J39" i="4" s="1"/>
  <c r="C9" i="4"/>
  <c r="M39" i="4" s="1"/>
  <c r="L39" i="4" s="1"/>
  <c r="C11" i="4"/>
  <c r="Q39" i="4" s="1"/>
  <c r="P39" i="4" s="1"/>
  <c r="C12" i="4"/>
  <c r="S39" i="4" s="1"/>
  <c r="R39" i="4" s="1"/>
  <c r="C10" i="4"/>
  <c r="O39" i="4" s="1"/>
  <c r="N39" i="4" s="1"/>
  <c r="O42" i="4" s="1"/>
  <c r="C7" i="4"/>
  <c r="I39" i="4" s="1"/>
  <c r="H39" i="4" s="1"/>
  <c r="C5" i="4"/>
  <c r="E39" i="4" s="1"/>
  <c r="C6" i="4"/>
  <c r="G39" i="4"/>
  <c r="F39" i="4" s="1"/>
  <c r="J145" i="4" l="1"/>
  <c r="R145" i="4"/>
  <c r="N145" i="4"/>
  <c r="G48" i="4"/>
  <c r="G59" i="4"/>
  <c r="G57" i="4"/>
  <c r="G46" i="4"/>
  <c r="G42" i="4"/>
  <c r="G47" i="4"/>
  <c r="G54" i="4"/>
  <c r="G51" i="4"/>
  <c r="G45" i="4"/>
  <c r="G52" i="4"/>
  <c r="G43" i="4"/>
  <c r="G60" i="4"/>
  <c r="G50" i="4"/>
  <c r="G61" i="4"/>
  <c r="G44" i="4"/>
  <c r="G55" i="4"/>
  <c r="G56" i="4"/>
  <c r="U44" i="4"/>
  <c r="U45" i="4"/>
  <c r="U42" i="4"/>
  <c r="U46" i="4"/>
  <c r="U43" i="4"/>
  <c r="C145" i="4"/>
  <c r="Q46" i="4"/>
  <c r="Q43" i="4"/>
  <c r="Q48" i="4"/>
  <c r="C146" i="4" s="1"/>
  <c r="Q45" i="4"/>
  <c r="Q47" i="4"/>
  <c r="R146" i="4" s="1"/>
  <c r="Q49" i="4"/>
  <c r="Q44" i="4"/>
  <c r="Q42" i="4"/>
  <c r="K59" i="4"/>
  <c r="K42" i="4"/>
  <c r="K53" i="4"/>
  <c r="S42" i="4"/>
  <c r="S43" i="4"/>
  <c r="S44" i="4"/>
  <c r="D39" i="4"/>
  <c r="I42" i="4"/>
  <c r="I44" i="4"/>
  <c r="I43" i="4"/>
  <c r="I45" i="4"/>
  <c r="M56" i="4"/>
  <c r="M46" i="4"/>
  <c r="M52" i="4"/>
  <c r="M47" i="4"/>
  <c r="M61" i="4"/>
  <c r="M59" i="4"/>
  <c r="M48" i="4"/>
  <c r="M58" i="4"/>
  <c r="M45" i="4"/>
  <c r="M43" i="4"/>
  <c r="M62" i="4"/>
  <c r="M44" i="4"/>
  <c r="M51" i="4"/>
  <c r="M50" i="4"/>
  <c r="M54" i="4"/>
  <c r="M49" i="4"/>
  <c r="M55" i="4"/>
  <c r="M57" i="4"/>
  <c r="M63" i="4"/>
  <c r="M53" i="4"/>
  <c r="M60" i="4"/>
  <c r="M42" i="4"/>
  <c r="C14" i="4"/>
  <c r="C17" i="4" s="1"/>
  <c r="J141" i="4" l="1"/>
  <c r="N147" i="4"/>
  <c r="R147" i="4"/>
  <c r="C147" i="4"/>
  <c r="J147" i="4"/>
  <c r="J146" i="4"/>
  <c r="N146" i="4"/>
  <c r="R144" i="4"/>
  <c r="N144" i="4"/>
  <c r="J144" i="4"/>
  <c r="J142" i="4"/>
  <c r="R142" i="4"/>
  <c r="N142" i="4"/>
  <c r="J143" i="4"/>
  <c r="R143" i="4"/>
  <c r="N143" i="4"/>
  <c r="R148" i="4"/>
  <c r="C148" i="4"/>
  <c r="J148" i="4"/>
  <c r="N148" i="4"/>
  <c r="N141" i="4"/>
  <c r="R141" i="4"/>
  <c r="E42" i="4"/>
  <c r="E50" i="4"/>
  <c r="E54" i="4"/>
  <c r="E59" i="4"/>
  <c r="C143" i="4"/>
  <c r="W39" i="4"/>
  <c r="B116" i="4"/>
  <c r="C154" i="4" s="1"/>
  <c r="C144" i="4"/>
  <c r="C142" i="4"/>
  <c r="C141" i="4"/>
  <c r="J140" i="4" l="1"/>
  <c r="R140" i="4"/>
  <c r="N140" i="4"/>
  <c r="V39" i="4"/>
  <c r="X37" i="4"/>
  <c r="C140" i="4"/>
  <c r="W42" i="4" l="1"/>
  <c r="J139" i="4" l="1"/>
  <c r="J150" i="4" s="1"/>
  <c r="F151" i="4" s="1"/>
  <c r="R139" i="4"/>
  <c r="R150" i="4" s="1"/>
  <c r="F153" i="4" s="1"/>
  <c r="N139" i="4"/>
  <c r="N150" i="4" s="1"/>
  <c r="F152" i="4" s="1"/>
  <c r="C139" i="4"/>
  <c r="C150" i="4" s="1"/>
  <c r="F154" i="4" l="1"/>
  <c r="C152" i="4" s="1"/>
  <c r="C153" i="4" s="1"/>
  <c r="C158" i="4" s="1"/>
  <c r="J154" i="4" s="1"/>
  <c r="A3" i="2" s="1"/>
  <c r="C113" i="4" l="1"/>
  <c r="I1" i="2"/>
  <c r="J1" i="2" s="1"/>
  <c r="C1" i="2"/>
  <c r="E1" i="2"/>
  <c r="G1" i="2"/>
  <c r="H1" i="2"/>
  <c r="B1" i="2"/>
  <c r="B2" i="2" s="1"/>
  <c r="D1" i="2"/>
  <c r="F1" i="2"/>
  <c r="L1" i="2" l="1"/>
  <c r="K1" i="2" s="1"/>
  <c r="D2" i="2"/>
  <c r="I23" i="2" s="1"/>
  <c r="F2" i="2"/>
  <c r="L25" i="2" s="1"/>
  <c r="H2" i="2"/>
  <c r="O24" i="2" s="1"/>
  <c r="C2" i="2"/>
  <c r="D29" i="2" s="1"/>
  <c r="I21" i="2"/>
  <c r="G2" i="2"/>
  <c r="G25" i="2"/>
  <c r="G24" i="2"/>
  <c r="G23" i="2"/>
  <c r="E2" i="2"/>
  <c r="J2" i="2"/>
  <c r="I2" i="2"/>
  <c r="I22" i="2" l="1"/>
  <c r="I20" i="2"/>
  <c r="I25" i="2"/>
  <c r="I24" i="2"/>
  <c r="I19" i="2"/>
  <c r="I18" i="2"/>
  <c r="O25" i="2"/>
  <c r="L24" i="2"/>
  <c r="O23" i="2"/>
  <c r="O22" i="2"/>
  <c r="L23" i="2"/>
  <c r="H19" i="2"/>
  <c r="H22" i="2"/>
  <c r="L22" i="2"/>
  <c r="H23" i="2"/>
  <c r="H20" i="2"/>
  <c r="G22" i="2"/>
  <c r="H18" i="2"/>
  <c r="G20" i="2"/>
  <c r="H24" i="2"/>
  <c r="G18" i="2"/>
  <c r="F29" i="2"/>
  <c r="H21" i="2"/>
  <c r="G17" i="2"/>
  <c r="G21" i="2"/>
  <c r="H25" i="2"/>
  <c r="H17" i="2"/>
  <c r="G19" i="2"/>
  <c r="O19" i="2"/>
  <c r="Q21" i="2"/>
  <c r="O17" i="2"/>
  <c r="N25" i="2"/>
  <c r="N23" i="2"/>
  <c r="N17" i="2"/>
  <c r="N20" i="2"/>
  <c r="N21" i="2"/>
  <c r="N19" i="2"/>
  <c r="N24" i="2"/>
  <c r="N22" i="2"/>
  <c r="N18" i="2"/>
  <c r="O21" i="2"/>
  <c r="O20" i="2"/>
  <c r="L21" i="2"/>
  <c r="J19" i="2"/>
  <c r="J17" i="2"/>
  <c r="J20" i="2"/>
  <c r="L20" i="2"/>
  <c r="J23" i="2"/>
  <c r="J21" i="2"/>
  <c r="L17" i="2"/>
  <c r="L18" i="2"/>
  <c r="J24" i="2"/>
  <c r="J22" i="2"/>
  <c r="J25" i="2"/>
  <c r="L19" i="2"/>
  <c r="J18" i="2"/>
  <c r="Q20" i="2"/>
  <c r="O18" i="2"/>
  <c r="M27" i="2"/>
  <c r="Q25" i="2"/>
  <c r="Q24" i="2"/>
  <c r="Q22" i="2"/>
  <c r="P27" i="2"/>
  <c r="Q23" i="2"/>
  <c r="Q18" i="2"/>
  <c r="Q17" i="2"/>
  <c r="Q19" i="2"/>
  <c r="I17" i="2"/>
  <c r="K27" i="2"/>
  <c r="I27" i="2" l="1"/>
  <c r="G27" i="2"/>
  <c r="H27" i="2"/>
  <c r="O27" i="2"/>
  <c r="L27" i="2"/>
  <c r="N27" i="2"/>
  <c r="J27" i="2"/>
  <c r="Q27" i="2"/>
  <c r="H29" i="2" l="1"/>
  <c r="A5" i="2" s="1"/>
  <c r="L154" i="4" l="1"/>
</calcChain>
</file>

<file path=xl/comments1.xml><?xml version="1.0" encoding="utf-8"?>
<comments xmlns="http://schemas.openxmlformats.org/spreadsheetml/2006/main">
  <authors>
    <author>Abel Salado Martínez</author>
  </authors>
  <commentList>
    <comment ref="F167" authorId="0">
      <text>
        <r>
          <rPr>
            <b/>
            <sz val="9"/>
            <color indexed="81"/>
            <rFont val="Tahoma"/>
            <family val="2"/>
          </rPr>
          <t>Abel Salado Martínez:</t>
        </r>
        <r>
          <rPr>
            <sz val="9"/>
            <color indexed="81"/>
            <rFont val="Tahoma"/>
            <family val="2"/>
          </rPr>
          <t xml:space="preserve">
Ejemplo: si el sujeto es regular y los comparables es excelente, se cuentan los espacios de diferencia y es el lugar que se toma d ela tabla de la casilla B156</t>
        </r>
      </text>
    </comment>
  </commentList>
</comments>
</file>

<file path=xl/sharedStrings.xml><?xml version="1.0" encoding="utf-8"?>
<sst xmlns="http://schemas.openxmlformats.org/spreadsheetml/2006/main" count="747" uniqueCount="273">
  <si>
    <t>Marca</t>
  </si>
  <si>
    <t>Kenworth</t>
  </si>
  <si>
    <t>Freightliner</t>
  </si>
  <si>
    <t>International</t>
  </si>
  <si>
    <t>Modelo</t>
  </si>
  <si>
    <t>Motor</t>
  </si>
  <si>
    <t>Freno Motor</t>
  </si>
  <si>
    <t>Transmisión</t>
  </si>
  <si>
    <t>Año</t>
  </si>
  <si>
    <t>Suspensión</t>
  </si>
  <si>
    <t>%</t>
  </si>
  <si>
    <t>Detroit</t>
  </si>
  <si>
    <t>Caterpillar</t>
  </si>
  <si>
    <t>Mecánica de balancín</t>
  </si>
  <si>
    <t>Neumática 4 bolsas</t>
  </si>
  <si>
    <t>Neumática 8 bolsas</t>
  </si>
  <si>
    <t>Volvo</t>
  </si>
  <si>
    <t>Cabina</t>
  </si>
  <si>
    <t>Cummins</t>
  </si>
  <si>
    <t>C-15</t>
  </si>
  <si>
    <t>ISX</t>
  </si>
  <si>
    <t>Serie 60, 12.7 Ddec V</t>
  </si>
  <si>
    <t>Serie 60, 12.7 Ddec IV</t>
  </si>
  <si>
    <t>Serie 60, 12.7 Ddec III</t>
  </si>
  <si>
    <t>Serie 60, 12.7 Ddec II</t>
  </si>
  <si>
    <t>Serie 60, 11.1 Ddec I</t>
  </si>
  <si>
    <t>C-12</t>
  </si>
  <si>
    <t>3406E</t>
  </si>
  <si>
    <t>C-13</t>
  </si>
  <si>
    <t>Century</t>
  </si>
  <si>
    <t>Columbia</t>
  </si>
  <si>
    <t>Serie 60, 14.0 Ddec VI</t>
  </si>
  <si>
    <t>FLD120</t>
  </si>
  <si>
    <t>9200i</t>
  </si>
  <si>
    <t>9400i</t>
  </si>
  <si>
    <t>VNL64T630</t>
  </si>
  <si>
    <t>VNL64T670</t>
  </si>
  <si>
    <t>VNL64T770</t>
  </si>
  <si>
    <t>Valor de Rescate</t>
  </si>
  <si>
    <t>Diferencial</t>
  </si>
  <si>
    <t>Edo. Conserv.</t>
  </si>
  <si>
    <t>Integro</t>
  </si>
  <si>
    <t>T600_</t>
  </si>
  <si>
    <t>T2000_</t>
  </si>
  <si>
    <t>W900_</t>
  </si>
  <si>
    <t>M11_</t>
  </si>
  <si>
    <t>Big_Cam_IV</t>
  </si>
  <si>
    <t>Big_Cam_II</t>
  </si>
  <si>
    <t>Big_Cam_I</t>
  </si>
  <si>
    <t>Big _Cam_III</t>
  </si>
  <si>
    <t>Suma</t>
  </si>
  <si>
    <t>Divisor de años</t>
  </si>
  <si>
    <t>Divisor Factores</t>
  </si>
  <si>
    <t>Año sujeto</t>
  </si>
  <si>
    <t>Año comparable</t>
  </si>
  <si>
    <t>VUT</t>
  </si>
  <si>
    <t>Dep. anual</t>
  </si>
  <si>
    <t>Dif. Años a ajustar</t>
  </si>
  <si>
    <t>Factor Depreciac.</t>
  </si>
  <si>
    <t>Estado conserv.</t>
  </si>
  <si>
    <t>Acc. Excedentes</t>
  </si>
  <si>
    <t>Complementario</t>
  </si>
  <si>
    <t>Rompevientos</t>
  </si>
  <si>
    <t>Cornetas</t>
  </si>
  <si>
    <t>Visera</t>
  </si>
  <si>
    <t>Rejillas</t>
  </si>
  <si>
    <t>Plafoneras</t>
  </si>
  <si>
    <t>Plafones normal</t>
  </si>
  <si>
    <t>Estribo de aluminio</t>
  </si>
  <si>
    <t>Portacadenas</t>
  </si>
  <si>
    <t>Defensa</t>
  </si>
  <si>
    <t>Zoqueteras</t>
  </si>
  <si>
    <t>Bazoocas</t>
  </si>
  <si>
    <t>Pantaloneras</t>
  </si>
  <si>
    <t>Fijadores de pantalonera</t>
  </si>
  <si>
    <t>Portaplaca trasero o defensa</t>
  </si>
  <si>
    <t>Faros antiniebla y faro de avión</t>
  </si>
  <si>
    <t>Polveras</t>
  </si>
  <si>
    <t>Pipas o escapes</t>
  </si>
  <si>
    <t>Caja de herramienta</t>
  </si>
  <si>
    <t>Tapones</t>
  </si>
  <si>
    <t>Purificador de aire</t>
  </si>
  <si>
    <t>Sujeto</t>
  </si>
  <si>
    <t>Años Vida Util Total</t>
  </si>
  <si>
    <t>Val. Rescate</t>
  </si>
  <si>
    <t>Valor Total</t>
  </si>
  <si>
    <t>Igual</t>
  </si>
  <si>
    <t>Mejor</t>
  </si>
  <si>
    <t>Mucho mejor</t>
  </si>
  <si>
    <t>Poco mejor</t>
  </si>
  <si>
    <t>Poco peor</t>
  </si>
  <si>
    <t>Peor</t>
  </si>
  <si>
    <t>Mucho peor</t>
  </si>
  <si>
    <t>Factor homolagación</t>
  </si>
  <si>
    <t>Rodado (Llantas)</t>
  </si>
  <si>
    <t>Factor</t>
  </si>
  <si>
    <t>No entra para suma de %</t>
  </si>
  <si>
    <t>Comprobación de suma de % =</t>
  </si>
  <si>
    <t>Nuevas</t>
  </si>
  <si>
    <t>3/4 vida</t>
  </si>
  <si>
    <t>Casco</t>
  </si>
  <si>
    <t>7/8 de vida</t>
  </si>
  <si>
    <t>5/8 de vida</t>
  </si>
  <si>
    <t>1/2 vida</t>
  </si>
  <si>
    <t>1/4 de vida</t>
  </si>
  <si>
    <t>3/8 de vida</t>
  </si>
  <si>
    <t>1/8 de vida</t>
  </si>
  <si>
    <t>No. Llantas</t>
  </si>
  <si>
    <t>Ponderación</t>
  </si>
  <si>
    <t>VNR (Global)</t>
  </si>
  <si>
    <t>Calificación Rodado Sujeto</t>
  </si>
  <si>
    <t>Valor</t>
  </si>
  <si>
    <t>Dif. de rodado (Llantas)</t>
  </si>
  <si>
    <t>Cabina c/Camarote Integral</t>
  </si>
  <si>
    <t>Cabina c/Camarote Mediano</t>
  </si>
  <si>
    <t>Cabina c/Camarote Sencillo</t>
  </si>
  <si>
    <t>Cabina Sola</t>
  </si>
  <si>
    <t>N14_Celect_Plus</t>
  </si>
  <si>
    <t>N14_Celect</t>
  </si>
  <si>
    <t>N14_Mecánica</t>
  </si>
  <si>
    <t>ISM</t>
  </si>
  <si>
    <t>Small_Cam</t>
  </si>
  <si>
    <t>Modelo Motor</t>
  </si>
  <si>
    <t>Calificación</t>
  </si>
  <si>
    <t>Jacob's</t>
  </si>
  <si>
    <t>Eaton Fuller 15 Vel</t>
  </si>
  <si>
    <t>Eaton Fuller 18 Vel</t>
  </si>
  <si>
    <t>Eaton Fuller 13 Vel</t>
  </si>
  <si>
    <t>Eaton Fuller 10 Vel (SuperDiez)</t>
  </si>
  <si>
    <t>Eaton Fuller 10 Velocidades</t>
  </si>
  <si>
    <t>Eaton Fuller 9 Velocidades</t>
  </si>
  <si>
    <t>Spicer 16 Vel</t>
  </si>
  <si>
    <t>Spicer 14 Vel</t>
  </si>
  <si>
    <t>46,000_Lbs</t>
  </si>
  <si>
    <t>44,000_Lbs</t>
  </si>
  <si>
    <t>42,000_Lbs</t>
  </si>
  <si>
    <t>40,000_Lbs</t>
  </si>
  <si>
    <t>38,000_Lbs</t>
  </si>
  <si>
    <t>Diferenciales</t>
  </si>
  <si>
    <t>Freno_Motor</t>
  </si>
  <si>
    <t>Valor_Rescate</t>
  </si>
  <si>
    <t>T400_</t>
  </si>
  <si>
    <t>T300_</t>
  </si>
  <si>
    <t>T660_para_Torton</t>
  </si>
  <si>
    <t>T670_para_Torton</t>
  </si>
  <si>
    <t>No aplica</t>
  </si>
  <si>
    <t>Estos valores son del proyecto de Jorge Luna (peso variables)</t>
  </si>
  <si>
    <t>Promedio Edad</t>
  </si>
  <si>
    <t>Promedio Valor</t>
  </si>
  <si>
    <t>Promedio Porcentajes</t>
  </si>
  <si>
    <t>Llantas Comparable 1</t>
  </si>
  <si>
    <t>Llantas Comparable 2</t>
  </si>
  <si>
    <t>Llantas Comparable 3</t>
  </si>
  <si>
    <t>Promedio Valor Llantas</t>
  </si>
  <si>
    <t>Modelo Comparable 1</t>
  </si>
  <si>
    <t>Modelo Comparable 2</t>
  </si>
  <si>
    <t>Modelo Comparable 3</t>
  </si>
  <si>
    <t>Valor Comparable 1</t>
  </si>
  <si>
    <t>Valor Comparable 2</t>
  </si>
  <si>
    <t>Valor Comparable 3</t>
  </si>
  <si>
    <t>Suma % Comparable 1</t>
  </si>
  <si>
    <t>Suma % Comparable 2</t>
  </si>
  <si>
    <t>Suma % Comparable 3</t>
  </si>
  <si>
    <t>Acc. Excedentes Comp. 1</t>
  </si>
  <si>
    <t>Acc. Excedentes Comp. 2</t>
  </si>
  <si>
    <t>Acc. Excedentes Comp. 3</t>
  </si>
  <si>
    <t>Promedio de Excedentes</t>
  </si>
  <si>
    <t>Fact. Negociación</t>
  </si>
  <si>
    <t>Factor de Negociación</t>
  </si>
  <si>
    <t>Año de la unidad</t>
  </si>
  <si>
    <t>Valor de Mercado de Unidad</t>
  </si>
  <si>
    <t>Val. Comercial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</si>
  <si>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</si>
  <si>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</si>
  <si>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</si>
  <si>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</si>
  <si>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</si>
  <si>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</si>
  <si>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</si>
  <si>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</si>
  <si>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</si>
  <si>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</si>
  <si>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</si>
  <si>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>UN</t>
  </si>
  <si>
    <t xml:space="preserve">DIEZ </t>
  </si>
  <si>
    <t xml:space="preserve">ONCE </t>
  </si>
  <si>
    <t xml:space="preserve">CIENTO </t>
  </si>
  <si>
    <t xml:space="preserve">UN MILLON </t>
  </si>
  <si>
    <t xml:space="preserve">DOS </t>
  </si>
  <si>
    <t>VEINTI</t>
  </si>
  <si>
    <t>DOCE</t>
  </si>
  <si>
    <t xml:space="preserve">DOSCIENTOS </t>
  </si>
  <si>
    <t xml:space="preserve">DOS MILLONES </t>
  </si>
  <si>
    <t xml:space="preserve">TRES </t>
  </si>
  <si>
    <t xml:space="preserve">TREINTA </t>
  </si>
  <si>
    <t>TRECE</t>
  </si>
  <si>
    <t xml:space="preserve">TRESCIENTOS </t>
  </si>
  <si>
    <t xml:space="preserve">TRES MILLONES </t>
  </si>
  <si>
    <t xml:space="preserve">CUATRO </t>
  </si>
  <si>
    <t xml:space="preserve">CUARENTA </t>
  </si>
  <si>
    <t>CATORCE</t>
  </si>
  <si>
    <t xml:space="preserve">CUATROCIENTOS </t>
  </si>
  <si>
    <t xml:space="preserve">CUATRO MILLONES </t>
  </si>
  <si>
    <t xml:space="preserve">CINCO </t>
  </si>
  <si>
    <t xml:space="preserve">CINCUENTA </t>
  </si>
  <si>
    <t>QUINCE</t>
  </si>
  <si>
    <t xml:space="preserve">QUINIENTOS </t>
  </si>
  <si>
    <t xml:space="preserve">CINCO MILLONES </t>
  </si>
  <si>
    <t xml:space="preserve">SEIS </t>
  </si>
  <si>
    <t xml:space="preserve">SESENTA </t>
  </si>
  <si>
    <t>DIECI</t>
  </si>
  <si>
    <t xml:space="preserve">SEISCIENTOS </t>
  </si>
  <si>
    <t xml:space="preserve">SEIS MILLONES </t>
  </si>
  <si>
    <t xml:space="preserve">SIETE </t>
  </si>
  <si>
    <t xml:space="preserve">SETENTA </t>
  </si>
  <si>
    <t xml:space="preserve">SETECIENTOS </t>
  </si>
  <si>
    <t xml:space="preserve">SIETE MILLONES </t>
  </si>
  <si>
    <t xml:space="preserve">OCHO </t>
  </si>
  <si>
    <t xml:space="preserve">OCHENTA </t>
  </si>
  <si>
    <t xml:space="preserve">OCHOCIENTOS </t>
  </si>
  <si>
    <t xml:space="preserve">OCHO MILLONES </t>
  </si>
  <si>
    <t xml:space="preserve">NUEVE </t>
  </si>
  <si>
    <t xml:space="preserve">NOVENTA </t>
  </si>
  <si>
    <t xml:space="preserve">NOVECIENTOS </t>
  </si>
  <si>
    <t xml:space="preserve">NUEVE MILLONES </t>
  </si>
  <si>
    <t xml:space="preserve"> </t>
  </si>
  <si>
    <t xml:space="preserve">UN </t>
  </si>
  <si>
    <t>CIEN</t>
  </si>
  <si>
    <t xml:space="preserve"> MIL </t>
  </si>
  <si>
    <t>MILLON</t>
  </si>
  <si>
    <t xml:space="preserve">Y </t>
  </si>
  <si>
    <t>CIENTOS</t>
  </si>
  <si>
    <t xml:space="preserve"> MILLONES </t>
  </si>
  <si>
    <t>RESULTADO:</t>
  </si>
  <si>
    <t>VALOR COMERCIAL DE LA UNIDAD:</t>
  </si>
  <si>
    <t>ELECCIÓN DE COMPONENTES ESENCIALES DEL SUJETO</t>
  </si>
  <si>
    <t>ELECCIÓN DE COMPONENTES ESENCIALES DEL COMPARABLE 1</t>
  </si>
  <si>
    <t>ELECCIÓN DE COMPONENTES ESENCIALES DEL COMPARABLE 2</t>
  </si>
  <si>
    <t>ELECCIÓN DE COMPONENTES ESENCIALES DEL COMPARABLE 3</t>
  </si>
  <si>
    <t>Valor promedio comparables</t>
  </si>
  <si>
    <t>Excelente</t>
  </si>
  <si>
    <t>Muy bueno</t>
  </si>
  <si>
    <t>Bueno</t>
  </si>
  <si>
    <t>Regular</t>
  </si>
  <si>
    <t>Malo</t>
  </si>
  <si>
    <t>Muy malo</t>
  </si>
  <si>
    <t>Estado coservación Comparables</t>
  </si>
  <si>
    <t>Edo_Conserv_Comparables</t>
  </si>
  <si>
    <t>Edo.Cons.Comp.</t>
  </si>
  <si>
    <t>Edo. Conserv. Comparable 1</t>
  </si>
  <si>
    <t>Edo. Conserv. Comparable 2</t>
  </si>
  <si>
    <t>Edo. Conserv. Comparable 3</t>
  </si>
  <si>
    <t>Promedio Edo. Cons. Comp.</t>
  </si>
  <si>
    <t>Edo.Cons.Sujeto</t>
  </si>
  <si>
    <t>Reparación Gral.</t>
  </si>
  <si>
    <t>Edo. Conserv. Prom. Comparables</t>
  </si>
  <si>
    <t>Tabla de calificación Estado de Conservación</t>
  </si>
  <si>
    <t>Acc. Excedentes Sujeto</t>
  </si>
  <si>
    <t>Acc. Excedentes Comparable 1</t>
  </si>
  <si>
    <t>Acc. Excedentes Comparable 2</t>
  </si>
  <si>
    <t>Acc. Excedentes Comparable 3</t>
  </si>
  <si>
    <t>Calificación Rodado Comparable 1</t>
  </si>
  <si>
    <t>Calificación Rodado Comparable 2</t>
  </si>
  <si>
    <t>Calificación Rodado Comparable 3</t>
  </si>
  <si>
    <t>Comparable 1</t>
  </si>
  <si>
    <t>Comparable 2</t>
  </si>
  <si>
    <t>Comparable 3</t>
  </si>
  <si>
    <t>Sin Llanta</t>
  </si>
  <si>
    <t>VRN (unitario)</t>
  </si>
  <si>
    <t>Rin Aluminio</t>
  </si>
  <si>
    <t>Espejos Cóncavos</t>
  </si>
  <si>
    <t>Modelo de Valuación por Criterios Esenciales de la unidad de Transporte Pesado tipo Tractocamion 5a rueda</t>
  </si>
  <si>
    <t>Valor exclusivo por criterios esenciales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</si>
</sst>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\ &quot;años&quot;"/>
    <numFmt numFmtId="166" formatCode="0.000%"/>
    <numFmt numFmtId="167" formatCode="_-&quot;$&quot;* #,##0.0000_-;\-&quot;$&quot;* #,##0.0000_-;_-&quot;$&quot;* &quot;-&quot;????_-;_-@_-"/>
    <numFmt numFmtId="168" formatCode="0.00000%"/>
    <numFmt numFmtId="169" formatCode="_-* #,##0.0_-;\-* #,##0.0_-;_-* &quot;-&quot;??_-;_-@_-"/>
    <numFmt numFmtId="170" formatCode="0.0"/>
    <numFmt numFmtId="171" formatCode="&quot;$&quot;#,##0.00_);\(&quot;$&quot;#,##0.00\)"/>
    <numFmt numFmtId="172" formatCode="_-&quot;$&quot;* #,##0.00_-;\-&quot;$&quot;* #,##0.00_-;_-&quot;$&quot;* &quot;-&quot;????_-;_-@_-"/>
  </numFmts>
  <fonts count="3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i/>
      <sz val="10"/>
      <color rgb="FFFFFF00"/>
      <name val="Arial Narrow"/>
      <family val="2"/>
    </font>
    <font>
      <b/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Agency FB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indexed="10"/>
      <name val="Arial"/>
      <family val="2"/>
    </font>
    <font>
      <sz val="10"/>
      <color indexed="56"/>
      <name val="MS Sans Serif"/>
      <family val="2"/>
    </font>
    <font>
      <sz val="7"/>
      <name val="Arial"/>
      <family val="2"/>
    </font>
    <font>
      <i/>
      <sz val="7"/>
      <name val="MS Sans Serif"/>
      <family val="2"/>
    </font>
    <font>
      <sz val="7"/>
      <name val="MS Sans Serif"/>
      <family val="2"/>
    </font>
    <font>
      <sz val="10"/>
      <name val="MS Sans Serif"/>
      <family val="2"/>
    </font>
    <font>
      <b/>
      <sz val="12"/>
      <color theme="0"/>
      <name val="Arial Narrow"/>
      <family val="2"/>
    </font>
    <font>
      <b/>
      <i/>
      <sz val="11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4.9989318521683403E-2"/>
      </left>
      <right style="medium">
        <color theme="0" tint="-0.34998626667073579"/>
      </right>
      <top style="medium">
        <color theme="0" tint="-4.9989318521683403E-2"/>
      </top>
      <bottom style="medium">
        <color theme="0" tint="-0.34998626667073579"/>
      </bottom>
      <diagonal/>
    </border>
    <border>
      <left style="medium">
        <color theme="0" tint="-4.9989318521683403E-2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4.9989318521683403E-2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/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medium">
        <color theme="0" tint="-4.9989318521683403E-2"/>
      </left>
      <right style="medium">
        <color theme="0" tint="-0.34998626667073579"/>
      </right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FF00"/>
      </left>
      <right style="double">
        <color rgb="FFFFFF00"/>
      </right>
      <top style="double">
        <color rgb="FFFFFF00"/>
      </top>
      <bottom/>
      <diagonal/>
    </border>
    <border>
      <left style="double">
        <color rgb="FFFFFF00"/>
      </left>
      <right style="double">
        <color rgb="FFFFFF00"/>
      </right>
      <top/>
      <bottom/>
      <diagonal/>
    </border>
    <border>
      <left style="double">
        <color rgb="FFFFFF00"/>
      </left>
      <right style="double">
        <color rgb="FFFFFF00"/>
      </right>
      <top/>
      <bottom style="double">
        <color rgb="FFFFFF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9"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9" fontId="0" fillId="0" borderId="0" xfId="1" applyFont="1" applyFill="1" applyAlignment="1">
      <alignment horizontal="center"/>
    </xf>
    <xf numFmtId="9" fontId="0" fillId="0" borderId="0" xfId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9" fillId="3" borderId="13" xfId="0" applyFont="1" applyFill="1" applyBorder="1"/>
    <xf numFmtId="9" fontId="3" fillId="0" borderId="0" xfId="1" applyFont="1" applyFill="1" applyAlignment="1">
      <alignment horizontal="center"/>
    </xf>
    <xf numFmtId="9" fontId="0" fillId="0" borderId="0" xfId="1" applyFont="1" applyFill="1" applyAlignment="1">
      <alignment horizontal="left"/>
    </xf>
    <xf numFmtId="9" fontId="3" fillId="0" borderId="0" xfId="1" applyFont="1" applyFill="1" applyAlignment="1">
      <alignment horizontal="left"/>
    </xf>
    <xf numFmtId="44" fontId="0" fillId="0" borderId="0" xfId="0" applyNumberFormat="1" applyFont="1" applyFill="1"/>
    <xf numFmtId="2" fontId="0" fillId="0" borderId="0" xfId="0" applyNumberFormat="1" applyFon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43" fontId="0" fillId="0" borderId="0" xfId="2" applyFont="1" applyFill="1"/>
    <xf numFmtId="2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44" fontId="3" fillId="0" borderId="0" xfId="3" applyFont="1" applyFill="1" applyAlignment="1">
      <alignment horizontal="right"/>
    </xf>
    <xf numFmtId="43" fontId="3" fillId="0" borderId="0" xfId="2" applyFont="1" applyFill="1" applyAlignment="1">
      <alignment horizontal="right"/>
    </xf>
    <xf numFmtId="1" fontId="0" fillId="0" borderId="4" xfId="0" applyNumberFormat="1" applyFill="1" applyBorder="1"/>
    <xf numFmtId="1" fontId="0" fillId="0" borderId="0" xfId="0" applyNumberFormat="1" applyFill="1"/>
    <xf numFmtId="0" fontId="0" fillId="0" borderId="4" xfId="0" applyFill="1" applyBorder="1"/>
    <xf numFmtId="0" fontId="0" fillId="0" borderId="0" xfId="0" applyFill="1"/>
    <xf numFmtId="43" fontId="26" fillId="20" borderId="0" xfId="2" applyFont="1" applyFill="1" applyBorder="1" applyProtection="1">
      <protection locked="0"/>
    </xf>
    <xf numFmtId="170" fontId="27" fillId="0" borderId="0" xfId="0" applyNumberFormat="1" applyFont="1" applyAlignment="1">
      <alignment horizontal="left"/>
    </xf>
    <xf numFmtId="0" fontId="0" fillId="0" borderId="0" xfId="0" applyFill="1" applyBorder="1"/>
    <xf numFmtId="171" fontId="26" fillId="20" borderId="0" xfId="0" applyNumberFormat="1" applyFont="1" applyFill="1" applyBorder="1" applyAlignment="1" applyProtection="1">
      <alignment horizontal="left"/>
      <protection locked="0"/>
    </xf>
    <xf numFmtId="0" fontId="0" fillId="20" borderId="0" xfId="0" applyFill="1" applyBorder="1"/>
    <xf numFmtId="0" fontId="28" fillId="0" borderId="0" xfId="0" applyFont="1" applyFill="1"/>
    <xf numFmtId="0" fontId="28" fillId="0" borderId="17" xfId="0" applyFont="1" applyFill="1" applyBorder="1"/>
    <xf numFmtId="0" fontId="28" fillId="0" borderId="18" xfId="0" applyFont="1" applyFill="1" applyBorder="1"/>
    <xf numFmtId="0" fontId="28" fillId="0" borderId="19" xfId="0" applyFont="1" applyFill="1" applyBorder="1"/>
    <xf numFmtId="0" fontId="29" fillId="0" borderId="0" xfId="0" applyFont="1"/>
    <xf numFmtId="0" fontId="28" fillId="0" borderId="20" xfId="0" applyFont="1" applyFill="1" applyBorder="1"/>
    <xf numFmtId="0" fontId="28" fillId="0" borderId="21" xfId="0" applyFont="1" applyFill="1" applyBorder="1"/>
    <xf numFmtId="0" fontId="28" fillId="0" borderId="22" xfId="0" applyFont="1" applyFill="1" applyBorder="1"/>
    <xf numFmtId="0" fontId="28" fillId="0" borderId="0" xfId="0" applyFont="1"/>
    <xf numFmtId="0" fontId="28" fillId="0" borderId="23" xfId="0" applyFont="1" applyFill="1" applyBorder="1"/>
    <xf numFmtId="0" fontId="28" fillId="0" borderId="4" xfId="0" applyFont="1" applyFill="1" applyBorder="1"/>
    <xf numFmtId="0" fontId="28" fillId="0" borderId="24" xfId="0" applyFont="1" applyFill="1" applyBorder="1"/>
    <xf numFmtId="0" fontId="28" fillId="0" borderId="25" xfId="0" applyFont="1" applyFill="1" applyBorder="1"/>
    <xf numFmtId="0" fontId="28" fillId="0" borderId="26" xfId="0" applyFont="1" applyFill="1" applyBorder="1"/>
    <xf numFmtId="0" fontId="28" fillId="0" borderId="27" xfId="0" applyFont="1" applyFill="1" applyBorder="1"/>
    <xf numFmtId="0" fontId="30" fillId="0" borderId="0" xfId="0" applyFont="1" applyAlignment="1">
      <alignment horizontal="right"/>
    </xf>
    <xf numFmtId="0" fontId="31" fillId="0" borderId="0" xfId="0" applyFont="1"/>
    <xf numFmtId="9" fontId="0" fillId="0" borderId="0" xfId="1" applyFont="1" applyFill="1" applyAlignment="1">
      <alignment horizontal="right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9" fontId="0" fillId="0" borderId="0" xfId="1" applyFont="1" applyFill="1" applyAlignment="1" applyProtection="1">
      <alignment horizontal="center"/>
      <protection hidden="1"/>
    </xf>
    <xf numFmtId="9" fontId="0" fillId="0" borderId="0" xfId="1" applyFont="1" applyFill="1" applyProtection="1">
      <protection hidden="1"/>
    </xf>
    <xf numFmtId="0" fontId="11" fillId="0" borderId="0" xfId="0" applyFont="1" applyFill="1" applyProtection="1">
      <protection hidden="1"/>
    </xf>
    <xf numFmtId="0" fontId="11" fillId="0" borderId="0" xfId="0" applyFont="1" applyFill="1" applyAlignment="1" applyProtection="1">
      <alignment horizontal="center"/>
      <protection hidden="1"/>
    </xf>
    <xf numFmtId="9" fontId="11" fillId="0" borderId="0" xfId="1" applyFont="1" applyFill="1" applyAlignment="1" applyProtection="1">
      <alignment horizontal="center"/>
      <protection hidden="1"/>
    </xf>
    <xf numFmtId="9" fontId="11" fillId="0" borderId="0" xfId="1" applyFont="1" applyFill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0" fontId="11" fillId="2" borderId="0" xfId="1" applyNumberFormat="1" applyFont="1" applyFill="1" applyBorder="1" applyAlignment="1" applyProtection="1">
      <alignment horizontal="right"/>
      <protection hidden="1"/>
    </xf>
    <xf numFmtId="9" fontId="11" fillId="0" borderId="0" xfId="1" applyFont="1" applyFill="1" applyBorder="1" applyAlignment="1" applyProtection="1">
      <alignment horizontal="center"/>
      <protection hidden="1"/>
    </xf>
    <xf numFmtId="10" fontId="23" fillId="0" borderId="0" xfId="1" applyNumberFormat="1" applyFont="1" applyFill="1" applyAlignment="1" applyProtection="1">
      <alignment wrapText="1"/>
      <protection hidden="1"/>
    </xf>
    <xf numFmtId="10" fontId="22" fillId="18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43" fontId="11" fillId="5" borderId="0" xfId="2" applyFont="1" applyFill="1" applyBorder="1" applyProtection="1">
      <protection hidden="1"/>
    </xf>
    <xf numFmtId="43" fontId="11" fillId="5" borderId="0" xfId="2" applyNumberFormat="1" applyFont="1" applyFill="1" applyAlignment="1" applyProtection="1">
      <alignment horizontal="center"/>
      <protection hidden="1"/>
    </xf>
    <xf numFmtId="43" fontId="11" fillId="5" borderId="0" xfId="2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2" fontId="11" fillId="5" borderId="0" xfId="0" applyNumberFormat="1" applyFont="1" applyFill="1" applyProtection="1">
      <protection hidden="1"/>
    </xf>
    <xf numFmtId="2" fontId="11" fillId="5" borderId="0" xfId="0" applyNumberFormat="1" applyFont="1" applyFill="1" applyAlignment="1" applyProtection="1">
      <alignment horizontal="right"/>
      <protection hidden="1"/>
    </xf>
    <xf numFmtId="2" fontId="11" fillId="5" borderId="0" xfId="0" applyNumberFormat="1" applyFont="1" applyFill="1" applyAlignment="1" applyProtection="1">
      <alignment horizontal="center"/>
      <protection hidden="1"/>
    </xf>
    <xf numFmtId="0" fontId="12" fillId="10" borderId="0" xfId="0" applyFont="1" applyFill="1" applyBorder="1" applyAlignment="1" applyProtection="1">
      <alignment horizontal="center"/>
      <protection hidden="1"/>
    </xf>
    <xf numFmtId="10" fontId="11" fillId="5" borderId="0" xfId="1" applyNumberFormat="1" applyFont="1" applyFill="1" applyBorder="1" applyAlignment="1" applyProtection="1">
      <alignment horizontal="right"/>
      <protection hidden="1"/>
    </xf>
    <xf numFmtId="10" fontId="11" fillId="15" borderId="0" xfId="0" applyNumberFormat="1" applyFont="1" applyFill="1" applyProtection="1">
      <protection hidden="1"/>
    </xf>
    <xf numFmtId="43" fontId="11" fillId="0" borderId="0" xfId="2" applyFont="1" applyFill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9" fontId="12" fillId="3" borderId="0" xfId="1" applyFont="1" applyFill="1" applyBorder="1" applyAlignment="1" applyProtection="1">
      <alignment horizontal="center"/>
      <protection hidden="1"/>
    </xf>
    <xf numFmtId="43" fontId="11" fillId="5" borderId="0" xfId="2" applyFont="1" applyFill="1" applyProtection="1">
      <protection hidden="1"/>
    </xf>
    <xf numFmtId="10" fontId="11" fillId="0" borderId="0" xfId="1" applyNumberFormat="1" applyFont="1" applyFill="1" applyProtection="1">
      <protection hidden="1"/>
    </xf>
    <xf numFmtId="0" fontId="12" fillId="11" borderId="0" xfId="0" applyFont="1" applyFill="1" applyBorder="1" applyAlignment="1" applyProtection="1">
      <alignment horizontal="center"/>
      <protection hidden="1"/>
    </xf>
    <xf numFmtId="43" fontId="11" fillId="0" borderId="0" xfId="2" applyFont="1" applyFill="1" applyBorder="1" applyAlignment="1" applyProtection="1">
      <alignment horizontal="center"/>
      <protection hidden="1"/>
    </xf>
    <xf numFmtId="9" fontId="12" fillId="11" borderId="0" xfId="1" applyFont="1" applyFill="1" applyBorder="1" applyAlignment="1" applyProtection="1">
      <alignment horizontal="center"/>
      <protection hidden="1"/>
    </xf>
    <xf numFmtId="43" fontId="11" fillId="5" borderId="0" xfId="0" applyNumberFormat="1" applyFont="1" applyFill="1" applyProtection="1">
      <protection hidden="1"/>
    </xf>
    <xf numFmtId="0" fontId="12" fillId="12" borderId="0" xfId="0" applyFont="1" applyFill="1" applyBorder="1" applyAlignment="1" applyProtection="1">
      <alignment horizontal="center"/>
      <protection hidden="1"/>
    </xf>
    <xf numFmtId="0" fontId="12" fillId="13" borderId="0" xfId="0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169" fontId="11" fillId="0" borderId="0" xfId="2" applyNumberFormat="1" applyFont="1" applyFill="1" applyAlignment="1" applyProtection="1">
      <alignment horizontal="center"/>
      <protection hidden="1"/>
    </xf>
    <xf numFmtId="10" fontId="11" fillId="0" borderId="0" xfId="0" applyNumberFormat="1" applyFont="1" applyFill="1" applyBorder="1" applyProtection="1">
      <protection hidden="1"/>
    </xf>
    <xf numFmtId="10" fontId="11" fillId="14" borderId="0" xfId="0" applyNumberFormat="1" applyFont="1" applyFill="1" applyBorder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10" fontId="11" fillId="0" borderId="0" xfId="0" applyNumberFormat="1" applyFont="1" applyFill="1" applyProtection="1">
      <protection hidden="1"/>
    </xf>
    <xf numFmtId="2" fontId="11" fillId="5" borderId="0" xfId="2" applyNumberFormat="1" applyFont="1" applyFill="1" applyAlignment="1" applyProtection="1">
      <alignment horizontal="right"/>
      <protection hidden="1"/>
    </xf>
    <xf numFmtId="0" fontId="22" fillId="13" borderId="0" xfId="0" applyFont="1" applyFill="1" applyBorder="1" applyAlignment="1" applyProtection="1">
      <alignment horizontal="center"/>
      <protection hidden="1"/>
    </xf>
    <xf numFmtId="168" fontId="22" fillId="13" borderId="0" xfId="1" applyNumberFormat="1" applyFont="1" applyFill="1" applyBorder="1" applyAlignment="1" applyProtection="1">
      <alignment horizontal="right"/>
      <protection hidden="1"/>
    </xf>
    <xf numFmtId="10" fontId="11" fillId="5" borderId="0" xfId="0" applyNumberFormat="1" applyFont="1" applyFill="1" applyProtection="1">
      <protection hidden="1"/>
    </xf>
    <xf numFmtId="0" fontId="11" fillId="0" borderId="0" xfId="0" applyFont="1" applyFill="1" applyAlignment="1" applyProtection="1">
      <alignment horizontal="right"/>
      <protection hidden="1"/>
    </xf>
    <xf numFmtId="168" fontId="11" fillId="0" borderId="0" xfId="0" applyNumberFormat="1" applyFont="1" applyFill="1" applyProtection="1">
      <protection hidden="1"/>
    </xf>
    <xf numFmtId="43" fontId="11" fillId="5" borderId="0" xfId="2" applyFont="1" applyFill="1" applyAlignment="1" applyProtection="1">
      <alignment horizontal="right"/>
      <protection hidden="1"/>
    </xf>
    <xf numFmtId="10" fontId="11" fillId="0" borderId="0" xfId="1" applyNumberFormat="1" applyFont="1" applyFill="1" applyBorder="1" applyAlignment="1" applyProtection="1">
      <alignment horizontal="right"/>
      <protection hidden="1"/>
    </xf>
    <xf numFmtId="0" fontId="12" fillId="5" borderId="0" xfId="0" applyFont="1" applyFill="1" applyAlignment="1" applyProtection="1">
      <alignment horizontal="left"/>
      <protection hidden="1"/>
    </xf>
    <xf numFmtId="2" fontId="12" fillId="5" borderId="0" xfId="0" applyNumberFormat="1" applyFont="1" applyFill="1" applyAlignment="1" applyProtection="1">
      <alignment horizontal="right"/>
      <protection hidden="1"/>
    </xf>
    <xf numFmtId="9" fontId="11" fillId="5" borderId="0" xfId="1" applyFont="1" applyFill="1" applyAlignment="1" applyProtection="1">
      <alignment horizontal="right"/>
      <protection hidden="1"/>
    </xf>
    <xf numFmtId="43" fontId="11" fillId="0" borderId="0" xfId="2" applyNumberFormat="1" applyFont="1" applyFill="1" applyAlignment="1" applyProtection="1">
      <alignment horizontal="center"/>
      <protection hidden="1"/>
    </xf>
    <xf numFmtId="0" fontId="0" fillId="5" borderId="0" xfId="0" applyFont="1" applyFill="1" applyProtection="1">
      <protection hidden="1"/>
    </xf>
    <xf numFmtId="0" fontId="11" fillId="5" borderId="0" xfId="0" applyFont="1" applyFill="1" applyProtection="1">
      <protection hidden="1"/>
    </xf>
    <xf numFmtId="0" fontId="21" fillId="0" borderId="0" xfId="0" applyFont="1" applyFill="1" applyAlignment="1" applyProtection="1">
      <alignment horizontal="center"/>
      <protection hidden="1"/>
    </xf>
    <xf numFmtId="165" fontId="12" fillId="5" borderId="0" xfId="0" applyNumberFormat="1" applyFont="1" applyFill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5" fontId="11" fillId="5" borderId="0" xfId="0" applyNumberFormat="1" applyFont="1" applyFill="1" applyBorder="1" applyAlignment="1" applyProtection="1">
      <alignment horizontal="center"/>
      <protection hidden="1"/>
    </xf>
    <xf numFmtId="2" fontId="11" fillId="5" borderId="0" xfId="0" applyNumberFormat="1" applyFont="1" applyFill="1" applyBorder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0" fillId="17" borderId="0" xfId="0" applyFont="1" applyFill="1" applyBorder="1" applyAlignment="1" applyProtection="1">
      <alignment horizontal="center"/>
      <protection hidden="1"/>
    </xf>
    <xf numFmtId="0" fontId="0" fillId="17" borderId="0" xfId="0" applyFont="1" applyFill="1" applyBorder="1" applyProtection="1">
      <protection hidden="1"/>
    </xf>
    <xf numFmtId="9" fontId="0" fillId="17" borderId="0" xfId="1" applyFont="1" applyFill="1" applyBorder="1" applyProtection="1">
      <protection hidden="1"/>
    </xf>
    <xf numFmtId="0" fontId="0" fillId="17" borderId="0" xfId="0" applyFont="1" applyFill="1" applyProtection="1">
      <protection hidden="1"/>
    </xf>
    <xf numFmtId="43" fontId="0" fillId="17" borderId="0" xfId="2" applyNumberFormat="1" applyFont="1" applyFill="1" applyAlignment="1" applyProtection="1">
      <alignment horizontal="center"/>
      <protection hidden="1"/>
    </xf>
    <xf numFmtId="9" fontId="0" fillId="17" borderId="0" xfId="1" applyFont="1" applyFill="1" applyAlignment="1" applyProtection="1">
      <alignment horizontal="center"/>
      <protection hidden="1"/>
    </xf>
    <xf numFmtId="9" fontId="4" fillId="0" borderId="0" xfId="1" applyFont="1" applyFill="1" applyAlignment="1" applyProtection="1">
      <alignment horizontal="center"/>
      <protection hidden="1"/>
    </xf>
    <xf numFmtId="10" fontId="0" fillId="0" borderId="0" xfId="0" applyNumberFormat="1" applyFont="1" applyFill="1" applyAlignment="1" applyProtection="1">
      <alignment horizontal="left"/>
      <protection hidden="1"/>
    </xf>
    <xf numFmtId="0" fontId="0" fillId="7" borderId="1" xfId="0" applyFont="1" applyFill="1" applyBorder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Protection="1">
      <protection hidden="1"/>
    </xf>
    <xf numFmtId="9" fontId="0" fillId="2" borderId="2" xfId="1" applyFont="1" applyFill="1" applyBorder="1" applyAlignment="1" applyProtection="1">
      <alignment horizontal="center"/>
      <protection hidden="1"/>
    </xf>
    <xf numFmtId="9" fontId="0" fillId="2" borderId="2" xfId="1" applyFont="1" applyFill="1" applyBorder="1" applyProtection="1"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16" borderId="2" xfId="0" applyFont="1" applyFill="1" applyBorder="1" applyAlignment="1" applyProtection="1">
      <alignment horizontal="right"/>
      <protection hidden="1"/>
    </xf>
    <xf numFmtId="0" fontId="0" fillId="16" borderId="3" xfId="0" applyFont="1" applyFill="1" applyBorder="1" applyAlignment="1" applyProtection="1">
      <alignment horizontal="center"/>
      <protection hidden="1"/>
    </xf>
    <xf numFmtId="10" fontId="0" fillId="7" borderId="4" xfId="1" applyNumberFormat="1" applyFont="1" applyFill="1" applyBorder="1" applyProtection="1">
      <protection hidden="1"/>
    </xf>
    <xf numFmtId="10" fontId="1" fillId="7" borderId="4" xfId="1" applyNumberFormat="1" applyFont="1" applyFill="1" applyBorder="1" applyAlignment="1" applyProtection="1">
      <alignment horizontal="center"/>
      <protection hidden="1"/>
    </xf>
    <xf numFmtId="168" fontId="0" fillId="2" borderId="4" xfId="1" applyNumberFormat="1" applyFont="1" applyFill="1" applyBorder="1" applyProtection="1">
      <protection hidden="1"/>
    </xf>
    <xf numFmtId="168" fontId="1" fillId="2" borderId="4" xfId="1" applyNumberFormat="1" applyFont="1" applyFill="1" applyBorder="1" applyAlignment="1" applyProtection="1">
      <alignment horizontal="center"/>
      <protection hidden="1"/>
    </xf>
    <xf numFmtId="168" fontId="0" fillId="2" borderId="4" xfId="1" applyNumberFormat="1" applyFont="1" applyFill="1" applyBorder="1" applyAlignment="1" applyProtection="1">
      <alignment horizontal="center"/>
      <protection hidden="1"/>
    </xf>
    <xf numFmtId="168" fontId="0" fillId="16" borderId="4" xfId="0" applyNumberFormat="1" applyFont="1" applyFill="1" applyBorder="1" applyAlignment="1" applyProtection="1">
      <alignment horizontal="right"/>
      <protection hidden="1"/>
    </xf>
    <xf numFmtId="168" fontId="1" fillId="16" borderId="4" xfId="0" applyNumberFormat="1" applyFont="1" applyFill="1" applyBorder="1" applyAlignment="1" applyProtection="1">
      <alignment horizontal="center"/>
      <protection hidden="1"/>
    </xf>
    <xf numFmtId="0" fontId="1" fillId="7" borderId="4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9" fontId="1" fillId="2" borderId="4" xfId="1" applyFont="1" applyFill="1" applyBorder="1" applyAlignment="1" applyProtection="1">
      <alignment horizontal="center"/>
      <protection hidden="1"/>
    </xf>
    <xf numFmtId="0" fontId="1" fillId="16" borderId="4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center"/>
      <protection hidden="1"/>
    </xf>
    <xf numFmtId="9" fontId="7" fillId="0" borderId="0" xfId="1" applyNumberFormat="1" applyFont="1" applyFill="1" applyAlignment="1" applyProtection="1">
      <alignment horizontal="center"/>
      <protection hidden="1"/>
    </xf>
    <xf numFmtId="9" fontId="5" fillId="0" borderId="0" xfId="1" applyFont="1" applyFill="1" applyAlignment="1" applyProtection="1">
      <alignment horizontal="center"/>
      <protection hidden="1"/>
    </xf>
    <xf numFmtId="10" fontId="4" fillId="0" borderId="0" xfId="1" applyNumberFormat="1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10" fontId="0" fillId="0" borderId="0" xfId="1" applyNumberFormat="1" applyFont="1" applyFill="1" applyAlignment="1" applyProtection="1">
      <alignment horizontal="center"/>
      <protection hidden="1"/>
    </xf>
    <xf numFmtId="1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2" fontId="5" fillId="0" borderId="0" xfId="0" applyNumberFormat="1" applyFont="1" applyFill="1" applyAlignment="1" applyProtection="1">
      <alignment horizontal="right"/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Alignment="1" applyProtection="1">
      <alignment horizontal="left"/>
      <protection hidden="1"/>
    </xf>
    <xf numFmtId="9" fontId="3" fillId="0" borderId="0" xfId="1" applyFont="1" applyFill="1" applyAlignment="1" applyProtection="1">
      <alignment horizontal="center"/>
      <protection hidden="1"/>
    </xf>
    <xf numFmtId="9" fontId="0" fillId="0" borderId="0" xfId="1" applyFont="1" applyFill="1" applyAlignment="1" applyProtection="1">
      <alignment horizontal="left"/>
      <protection hidden="1"/>
    </xf>
    <xf numFmtId="9" fontId="3" fillId="0" borderId="0" xfId="1" applyFont="1" applyFill="1" applyAlignment="1" applyProtection="1">
      <alignment horizontal="left"/>
      <protection hidden="1"/>
    </xf>
    <xf numFmtId="9" fontId="8" fillId="0" borderId="0" xfId="1" applyFont="1" applyFill="1" applyProtection="1">
      <protection hidden="1"/>
    </xf>
    <xf numFmtId="9" fontId="3" fillId="0" borderId="0" xfId="1" applyFont="1" applyFill="1" applyProtection="1">
      <protection hidden="1"/>
    </xf>
    <xf numFmtId="0" fontId="33" fillId="21" borderId="0" xfId="0" applyFont="1" applyFill="1" applyProtection="1">
      <protection hidden="1"/>
    </xf>
    <xf numFmtId="0" fontId="33" fillId="21" borderId="0" xfId="0" applyFont="1" applyFill="1" applyAlignment="1" applyProtection="1">
      <alignment horizontal="center"/>
      <protection hidden="1"/>
    </xf>
    <xf numFmtId="9" fontId="33" fillId="21" borderId="0" xfId="1" applyFont="1" applyFill="1" applyAlignment="1" applyProtection="1">
      <alignment horizontal="center"/>
      <protection hidden="1"/>
    </xf>
    <xf numFmtId="9" fontId="33" fillId="21" borderId="0" xfId="1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6" fillId="9" borderId="0" xfId="0" applyFont="1" applyFill="1" applyProtection="1">
      <protection hidden="1"/>
    </xf>
    <xf numFmtId="0" fontId="24" fillId="19" borderId="15" xfId="0" applyFont="1" applyFill="1" applyBorder="1" applyAlignment="1" applyProtection="1">
      <alignment horizontal="center"/>
      <protection hidden="1"/>
    </xf>
    <xf numFmtId="172" fontId="25" fillId="19" borderId="16" xfId="0" applyNumberFormat="1" applyFont="1" applyFill="1" applyBorder="1" applyAlignment="1" applyProtection="1">
      <alignment horizontal="center"/>
      <protection hidden="1"/>
    </xf>
    <xf numFmtId="9" fontId="3" fillId="0" borderId="0" xfId="0" applyNumberFormat="1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166" fontId="0" fillId="0" borderId="0" xfId="1" applyNumberFormat="1" applyFont="1" applyFill="1" applyProtection="1">
      <protection hidden="1"/>
    </xf>
    <xf numFmtId="2" fontId="0" fillId="0" borderId="0" xfId="0" applyNumberFormat="1" applyFont="1" applyFill="1" applyAlignment="1" applyProtection="1">
      <alignment horizontal="right"/>
      <protection hidden="1"/>
    </xf>
    <xf numFmtId="164" fontId="0" fillId="0" borderId="0" xfId="0" applyNumberFormat="1" applyFont="1" applyFill="1" applyProtection="1">
      <protection hidden="1"/>
    </xf>
    <xf numFmtId="2" fontId="0" fillId="0" borderId="0" xfId="0" applyNumberFormat="1" applyFont="1" applyFill="1" applyProtection="1">
      <protection hidden="1"/>
    </xf>
    <xf numFmtId="1" fontId="0" fillId="0" borderId="0" xfId="0" applyNumberFormat="1" applyFont="1" applyFill="1" applyProtection="1">
      <protection hidden="1"/>
    </xf>
    <xf numFmtId="9" fontId="0" fillId="0" borderId="0" xfId="0" applyNumberFormat="1" applyFont="1" applyFill="1" applyAlignment="1" applyProtection="1">
      <alignment horizontal="center"/>
      <protection hidden="1"/>
    </xf>
    <xf numFmtId="44" fontId="0" fillId="0" borderId="0" xfId="3" applyFont="1" applyFill="1" applyAlignment="1" applyProtection="1">
      <alignment horizontal="center"/>
      <protection hidden="1"/>
    </xf>
    <xf numFmtId="43" fontId="0" fillId="0" borderId="0" xfId="2" applyFont="1" applyFill="1" applyProtection="1">
      <protection hidden="1"/>
    </xf>
    <xf numFmtId="0" fontId="10" fillId="6" borderId="0" xfId="0" applyFont="1" applyFill="1" applyProtection="1">
      <protection hidden="1"/>
    </xf>
    <xf numFmtId="0" fontId="5" fillId="0" borderId="0" xfId="0" applyFont="1" applyFill="1" applyBorder="1" applyProtection="1">
      <protection hidden="1"/>
    </xf>
    <xf numFmtId="0" fontId="9" fillId="4" borderId="6" xfId="0" applyFont="1" applyFill="1" applyBorder="1" applyProtection="1">
      <protection hidden="1"/>
    </xf>
    <xf numFmtId="0" fontId="34" fillId="12" borderId="0" xfId="0" applyFont="1" applyFill="1" applyAlignment="1" applyProtection="1">
      <alignment horizontal="center"/>
      <protection hidden="1"/>
    </xf>
    <xf numFmtId="10" fontId="4" fillId="12" borderId="0" xfId="0" applyNumberFormat="1" applyFont="1" applyFill="1" applyAlignment="1" applyProtection="1">
      <alignment horizontal="center"/>
      <protection hidden="1"/>
    </xf>
    <xf numFmtId="10" fontId="4" fillId="12" borderId="0" xfId="1" applyNumberFormat="1" applyFont="1" applyFill="1" applyAlignment="1" applyProtection="1">
      <alignment horizontal="center"/>
      <protection hidden="1"/>
    </xf>
    <xf numFmtId="10" fontId="0" fillId="12" borderId="0" xfId="0" applyNumberFormat="1" applyFont="1" applyFill="1" applyAlignment="1" applyProtection="1">
      <alignment horizontal="right"/>
      <protection hidden="1"/>
    </xf>
    <xf numFmtId="44" fontId="0" fillId="12" borderId="0" xfId="0" applyNumberFormat="1" applyFont="1" applyFill="1" applyAlignment="1" applyProtection="1">
      <alignment horizontal="right"/>
      <protection hidden="1"/>
    </xf>
    <xf numFmtId="10" fontId="0" fillId="12" borderId="0" xfId="1" applyNumberFormat="1" applyFont="1" applyFill="1" applyAlignment="1" applyProtection="1">
      <alignment horizontal="right"/>
      <protection hidden="1"/>
    </xf>
    <xf numFmtId="164" fontId="4" fillId="12" borderId="10" xfId="2" applyNumberFormat="1" applyFont="1" applyFill="1" applyBorder="1" applyAlignment="1" applyProtection="1">
      <alignment horizontal="right"/>
      <protection hidden="1"/>
    </xf>
    <xf numFmtId="2" fontId="4" fillId="12" borderId="12" xfId="0" applyNumberFormat="1" applyFont="1" applyFill="1" applyBorder="1" applyAlignment="1" applyProtection="1">
      <alignment horizontal="right"/>
      <protection hidden="1"/>
    </xf>
    <xf numFmtId="44" fontId="4" fillId="12" borderId="0" xfId="0" applyNumberFormat="1" applyFont="1" applyFill="1" applyAlignment="1" applyProtection="1">
      <alignment horizontal="center"/>
      <protection hidden="1"/>
    </xf>
    <xf numFmtId="44" fontId="4" fillId="12" borderId="0" xfId="0" applyNumberFormat="1" applyFont="1" applyFill="1" applyBorder="1" applyAlignment="1" applyProtection="1">
      <alignment horizontal="right"/>
      <protection hidden="1"/>
    </xf>
    <xf numFmtId="167" fontId="6" fillId="12" borderId="0" xfId="0" applyNumberFormat="1" applyFont="1" applyFill="1" applyAlignment="1" applyProtection="1">
      <alignment horizontal="center"/>
      <protection hidden="1"/>
    </xf>
    <xf numFmtId="0" fontId="10" fillId="6" borderId="8" xfId="0" applyFont="1" applyFill="1" applyBorder="1" applyProtection="1">
      <protection hidden="1"/>
    </xf>
    <xf numFmtId="0" fontId="13" fillId="6" borderId="9" xfId="0" applyFont="1" applyFill="1" applyBorder="1" applyProtection="1">
      <protection hidden="1"/>
    </xf>
    <xf numFmtId="0" fontId="10" fillId="6" borderId="11" xfId="0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6" fillId="12" borderId="0" xfId="0" applyFont="1" applyFill="1" applyProtection="1">
      <protection hidden="1"/>
    </xf>
    <xf numFmtId="44" fontId="5" fillId="0" borderId="0" xfId="0" applyNumberFormat="1" applyFont="1" applyFill="1" applyBorder="1" applyAlignment="1" applyProtection="1">
      <alignment horizontal="right"/>
      <protection hidden="1"/>
    </xf>
    <xf numFmtId="10" fontId="5" fillId="0" borderId="0" xfId="1" applyNumberFormat="1" applyFont="1" applyFill="1" applyBorder="1" applyAlignment="1" applyProtection="1">
      <alignment horizontal="right"/>
      <protection hidden="1"/>
    </xf>
    <xf numFmtId="9" fontId="5" fillId="0" borderId="0" xfId="1" applyFont="1" applyFill="1" applyBorder="1" applyAlignment="1" applyProtection="1">
      <alignment horizontal="center"/>
      <protection hidden="1"/>
    </xf>
    <xf numFmtId="9" fontId="32" fillId="0" borderId="0" xfId="1" applyFont="1" applyFill="1" applyBorder="1" applyAlignment="1" applyProtection="1">
      <alignment horizontal="left" vertical="center"/>
      <protection hidden="1"/>
    </xf>
    <xf numFmtId="44" fontId="7" fillId="0" borderId="0" xfId="0" applyNumberFormat="1" applyFont="1" applyFill="1" applyBorder="1" applyAlignment="1" applyProtection="1">
      <alignment horizontal="right"/>
      <protection hidden="1"/>
    </xf>
    <xf numFmtId="167" fontId="6" fillId="0" borderId="0" xfId="0" applyNumberFormat="1" applyFont="1" applyFill="1" applyBorder="1" applyAlignment="1" applyProtection="1">
      <alignment horizontal="center"/>
      <protection hidden="1"/>
    </xf>
    <xf numFmtId="44" fontId="4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9" fontId="0" fillId="0" borderId="0" xfId="1" applyFont="1" applyFill="1" applyAlignment="1" applyProtection="1">
      <alignment horizontal="right"/>
      <protection hidden="1"/>
    </xf>
    <xf numFmtId="9" fontId="3" fillId="0" borderId="0" xfId="1" applyFont="1" applyFill="1" applyAlignment="1" applyProtection="1">
      <alignment horizontal="right"/>
      <protection hidden="1"/>
    </xf>
    <xf numFmtId="0" fontId="0" fillId="4" borderId="0" xfId="0" applyFont="1" applyFill="1" applyProtection="1">
      <protection hidden="1"/>
    </xf>
    <xf numFmtId="44" fontId="0" fillId="5" borderId="0" xfId="3" applyFont="1" applyFill="1" applyAlignment="1" applyProtection="1">
      <alignment horizontal="center"/>
      <protection locked="0"/>
    </xf>
    <xf numFmtId="9" fontId="0" fillId="5" borderId="0" xfId="0" applyNumberFormat="1" applyFont="1" applyFill="1" applyAlignment="1" applyProtection="1">
      <alignment horizontal="right"/>
      <protection locked="0"/>
    </xf>
    <xf numFmtId="44" fontId="16" fillId="9" borderId="0" xfId="3" applyFont="1" applyFill="1" applyAlignment="1" applyProtection="1">
      <alignment horizontal="center"/>
      <protection locked="0"/>
    </xf>
    <xf numFmtId="0" fontId="17" fillId="5" borderId="0" xfId="0" applyFont="1" applyFill="1" applyProtection="1">
      <protection locked="0"/>
    </xf>
    <xf numFmtId="44" fontId="0" fillId="5" borderId="0" xfId="3" applyFont="1" applyFill="1" applyProtection="1">
      <protection locked="0"/>
    </xf>
    <xf numFmtId="0" fontId="0" fillId="5" borderId="0" xfId="0" applyFont="1" applyFill="1" applyProtection="1">
      <protection locked="0"/>
    </xf>
    <xf numFmtId="9" fontId="0" fillId="4" borderId="0" xfId="1" applyFont="1" applyFill="1" applyAlignment="1" applyProtection="1">
      <alignment horizontal="center"/>
      <protection locked="0"/>
    </xf>
    <xf numFmtId="0" fontId="9" fillId="4" borderId="7" xfId="0" applyFont="1" applyFill="1" applyBorder="1" applyProtection="1">
      <protection locked="0"/>
    </xf>
    <xf numFmtId="0" fontId="9" fillId="4" borderId="5" xfId="0" applyFont="1" applyFill="1" applyBorder="1" applyProtection="1">
      <protection locked="0"/>
    </xf>
    <xf numFmtId="0" fontId="9" fillId="4" borderId="6" xfId="0" applyFont="1" applyFill="1" applyBorder="1" applyProtection="1">
      <protection locked="0"/>
    </xf>
    <xf numFmtId="0" fontId="9" fillId="4" borderId="6" xfId="0" applyFont="1" applyFill="1" applyBorder="1" applyAlignment="1" applyProtection="1">
      <alignment horizontal="left"/>
      <protection locked="0"/>
    </xf>
    <xf numFmtId="44" fontId="4" fillId="5" borderId="0" xfId="3" applyFont="1" applyFill="1" applyAlignment="1" applyProtection="1">
      <alignment horizontal="center"/>
      <protection locked="0"/>
    </xf>
    <xf numFmtId="0" fontId="32" fillId="8" borderId="28" xfId="0" applyFont="1" applyFill="1" applyBorder="1" applyAlignment="1" applyProtection="1">
      <alignment horizontal="center" vertical="center"/>
      <protection hidden="1"/>
    </xf>
    <xf numFmtId="0" fontId="32" fillId="8" borderId="29" xfId="0" applyFont="1" applyFill="1" applyBorder="1" applyAlignment="1" applyProtection="1">
      <alignment horizontal="center" vertical="center"/>
      <protection hidden="1"/>
    </xf>
    <xf numFmtId="0" fontId="32" fillId="8" borderId="30" xfId="0" applyFont="1" applyFill="1" applyBorder="1" applyAlignment="1" applyProtection="1">
      <alignment horizontal="center" vertical="center"/>
      <protection hidden="1"/>
    </xf>
    <xf numFmtId="9" fontId="32" fillId="8" borderId="28" xfId="1" applyFont="1" applyFill="1" applyBorder="1" applyAlignment="1" applyProtection="1">
      <alignment horizontal="left" vertical="center"/>
      <protection hidden="1"/>
    </xf>
    <xf numFmtId="9" fontId="32" fillId="8" borderId="29" xfId="1" applyFont="1" applyFill="1" applyBorder="1" applyAlignment="1" applyProtection="1">
      <alignment horizontal="left" vertical="center"/>
      <protection hidden="1"/>
    </xf>
    <xf numFmtId="9" fontId="32" fillId="8" borderId="30" xfId="1" applyFont="1" applyFill="1" applyBorder="1" applyAlignment="1" applyProtection="1">
      <alignment horizontal="left" vertical="center"/>
      <protection hidden="1"/>
    </xf>
    <xf numFmtId="172" fontId="32" fillId="8" borderId="28" xfId="1" applyNumberFormat="1" applyFont="1" applyFill="1" applyBorder="1" applyAlignment="1" applyProtection="1">
      <alignment horizontal="center" vertical="center"/>
      <protection hidden="1"/>
    </xf>
    <xf numFmtId="172" fontId="32" fillId="8" borderId="29" xfId="1" applyNumberFormat="1" applyFont="1" applyFill="1" applyBorder="1" applyAlignment="1" applyProtection="1">
      <alignment horizontal="center" vertical="center"/>
      <protection hidden="1"/>
    </xf>
    <xf numFmtId="172" fontId="32" fillId="8" borderId="30" xfId="1" applyNumberFormat="1" applyFont="1" applyFill="1" applyBorder="1" applyAlignment="1" applyProtection="1">
      <alignment horizontal="center" vertical="center"/>
      <protection hidden="1"/>
    </xf>
    <xf numFmtId="0" fontId="10" fillId="6" borderId="8" xfId="0" applyFont="1" applyFill="1" applyBorder="1" applyAlignment="1" applyProtection="1">
      <alignment horizontal="center" vertical="center"/>
      <protection hidden="1"/>
    </xf>
    <xf numFmtId="0" fontId="10" fillId="6" borderId="9" xfId="0" applyFont="1" applyFill="1" applyBorder="1" applyAlignment="1" applyProtection="1">
      <alignment horizontal="center" vertical="center"/>
      <protection hidden="1"/>
    </xf>
    <xf numFmtId="0" fontId="10" fillId="6" borderId="10" xfId="0" applyFont="1" applyFill="1" applyBorder="1" applyAlignment="1" applyProtection="1">
      <alignment horizontal="center" vertical="center"/>
      <protection hidden="1"/>
    </xf>
    <xf numFmtId="0" fontId="10" fillId="6" borderId="11" xfId="0" applyFont="1" applyFill="1" applyBorder="1" applyAlignment="1" applyProtection="1">
      <alignment horizontal="center" vertical="center"/>
      <protection hidden="1"/>
    </xf>
    <xf numFmtId="0" fontId="10" fillId="6" borderId="14" xfId="0" applyFont="1" applyFill="1" applyBorder="1" applyAlignment="1" applyProtection="1">
      <alignment horizontal="center" vertical="center"/>
      <protection hidden="1"/>
    </xf>
    <xf numFmtId="0" fontId="10" fillId="6" borderId="12" xfId="0" applyFont="1" applyFill="1" applyBorder="1" applyAlignment="1" applyProtection="1">
      <alignment horizontal="center" vertical="center"/>
      <protection hidden="1"/>
    </xf>
  </cellXfs>
  <cellStyles count="4">
    <cellStyle name="Millares" xfId="2" builtinId="3"/>
    <cellStyle name="Moneda" xfId="3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83"/>
  <sheetViews>
    <sheetView showGridLines="0" tabSelected="1" view="pageBreakPreview" topLeftCell="A108" zoomScale="80" zoomScaleNormal="70" zoomScaleSheetLayoutView="80" workbookViewId="0">
      <selection activeCell="I127" sqref="I127"/>
    </sheetView>
  </sheetViews>
  <sheetFormatPr baseColWidth="10" defaultRowHeight="15" x14ac:dyDescent="0.25"/>
  <cols>
    <col min="1" max="1" width="15.7109375" style="2" customWidth="1"/>
    <col min="2" max="2" width="25.7109375" style="2" customWidth="1"/>
    <col min="3" max="3" width="15.7109375" style="3" customWidth="1"/>
    <col min="4" max="4" width="1.7109375" style="2" customWidth="1"/>
    <col min="5" max="5" width="25.140625" style="4" hidden="1" customWidth="1"/>
    <col min="6" max="6" width="15.7109375" style="2" hidden="1" customWidth="1"/>
    <col min="7" max="7" width="10.42578125" style="4" hidden="1" customWidth="1"/>
    <col min="8" max="8" width="15.7109375" style="5" customWidth="1"/>
    <col min="9" max="9" width="25.7109375" style="4" customWidth="1"/>
    <col min="10" max="10" width="15.7109375" style="2" customWidth="1"/>
    <col min="11" max="11" width="1.7109375" style="4" customWidth="1"/>
    <col min="12" max="12" width="15.7109375" style="2" customWidth="1"/>
    <col min="13" max="13" width="25.7109375" style="4" customWidth="1"/>
    <col min="14" max="14" width="15.7109375" style="2" customWidth="1"/>
    <col min="15" max="15" width="1.7109375" style="4" customWidth="1"/>
    <col min="16" max="16" width="15.7109375" style="2" customWidth="1"/>
    <col min="17" max="17" width="25.7109375" style="4" customWidth="1"/>
    <col min="18" max="18" width="15.7109375" style="2" customWidth="1"/>
    <col min="19" max="19" width="15.7109375" style="3" customWidth="1"/>
    <col min="20" max="20" width="15.7109375" style="2" customWidth="1"/>
    <col min="21" max="21" width="15.7109375" style="4" customWidth="1"/>
    <col min="22" max="22" width="15.7109375" style="2" customWidth="1"/>
    <col min="23" max="23" width="15.7109375" style="3" customWidth="1"/>
    <col min="24" max="26" width="15.7109375" style="2" customWidth="1"/>
    <col min="27" max="27" width="15.7109375" style="3" customWidth="1"/>
    <col min="28" max="42" width="15.7109375" style="2" customWidth="1"/>
    <col min="43" max="16384" width="11.42578125" style="2"/>
  </cols>
  <sheetData>
    <row r="1" spans="1:27" ht="11.25" hidden="1" customHeight="1" x14ac:dyDescent="0.25">
      <c r="A1" s="47"/>
      <c r="B1" s="47"/>
      <c r="C1" s="48"/>
      <c r="D1" s="47"/>
      <c r="E1" s="49"/>
      <c r="F1" s="47"/>
      <c r="G1" s="49"/>
      <c r="H1" s="50"/>
      <c r="I1" s="49"/>
      <c r="J1" s="47"/>
      <c r="K1" s="49"/>
      <c r="L1" s="47"/>
      <c r="M1" s="49"/>
      <c r="N1" s="47"/>
      <c r="O1" s="49"/>
      <c r="P1" s="47"/>
      <c r="Q1" s="49"/>
      <c r="R1" s="47"/>
      <c r="S1" s="48"/>
      <c r="T1" s="47"/>
      <c r="U1" s="49"/>
      <c r="V1" s="47"/>
      <c r="W1" s="48"/>
      <c r="X1" s="47"/>
      <c r="Y1" s="47"/>
      <c r="Z1" s="47"/>
    </row>
    <row r="2" spans="1:27" s="6" customFormat="1" ht="11.25" hidden="1" customHeight="1" x14ac:dyDescent="0.2">
      <c r="A2" s="51"/>
      <c r="B2" s="51"/>
      <c r="C2" s="52"/>
      <c r="D2" s="51"/>
      <c r="E2" s="53"/>
      <c r="F2" s="51"/>
      <c r="G2" s="53"/>
      <c r="H2" s="54"/>
      <c r="I2" s="53"/>
      <c r="J2" s="51"/>
      <c r="K2" s="53"/>
      <c r="L2" s="51"/>
      <c r="M2" s="53"/>
      <c r="N2" s="51"/>
      <c r="O2" s="53"/>
      <c r="P2" s="51"/>
      <c r="Q2" s="53"/>
      <c r="R2" s="51"/>
      <c r="S2" s="52"/>
      <c r="T2" s="51"/>
      <c r="U2" s="53"/>
      <c r="V2" s="51"/>
      <c r="W2" s="52"/>
      <c r="X2" s="51"/>
      <c r="Y2" s="51"/>
      <c r="Z2" s="51"/>
      <c r="AA2" s="7"/>
    </row>
    <row r="3" spans="1:27" s="6" customFormat="1" ht="11.25" hidden="1" customHeight="1" x14ac:dyDescent="0.2">
      <c r="A3" s="55" t="s">
        <v>8</v>
      </c>
      <c r="B3" s="56">
        <v>0.2</v>
      </c>
      <c r="C3" s="51"/>
      <c r="D3" s="51" t="s">
        <v>0</v>
      </c>
      <c r="E3" s="57" t="s">
        <v>123</v>
      </c>
      <c r="F3" s="51" t="s">
        <v>4</v>
      </c>
      <c r="G3" s="53" t="s">
        <v>123</v>
      </c>
      <c r="H3" s="54" t="s">
        <v>17</v>
      </c>
      <c r="I3" s="53" t="s">
        <v>123</v>
      </c>
      <c r="J3" s="51" t="s">
        <v>5</v>
      </c>
      <c r="K3" s="51" t="s">
        <v>123</v>
      </c>
      <c r="L3" s="51" t="s">
        <v>122</v>
      </c>
      <c r="M3" s="51" t="s">
        <v>123</v>
      </c>
      <c r="N3" s="51" t="s">
        <v>6</v>
      </c>
      <c r="O3" s="53" t="s">
        <v>123</v>
      </c>
      <c r="P3" s="51" t="s">
        <v>7</v>
      </c>
      <c r="Q3" s="53" t="s">
        <v>123</v>
      </c>
      <c r="R3" s="51" t="s">
        <v>9</v>
      </c>
      <c r="S3" s="52" t="s">
        <v>123</v>
      </c>
      <c r="T3" s="51" t="s">
        <v>138</v>
      </c>
      <c r="U3" s="53" t="s">
        <v>123</v>
      </c>
      <c r="V3" s="51" t="s">
        <v>38</v>
      </c>
      <c r="W3" s="52" t="s">
        <v>123</v>
      </c>
      <c r="X3" s="51"/>
      <c r="Y3" s="51"/>
      <c r="Z3" s="51"/>
      <c r="AA3" s="7"/>
    </row>
    <row r="4" spans="1:27" s="6" customFormat="1" ht="24.75" hidden="1" x14ac:dyDescent="0.25">
      <c r="A4" s="51"/>
      <c r="B4" s="58" t="s">
        <v>146</v>
      </c>
      <c r="C4" s="59">
        <f>100%-C16</f>
        <v>0.8</v>
      </c>
      <c r="D4" s="60" t="s">
        <v>1</v>
      </c>
      <c r="E4" s="61">
        <v>10</v>
      </c>
      <c r="F4" s="51" t="s">
        <v>44</v>
      </c>
      <c r="G4" s="62">
        <v>10</v>
      </c>
      <c r="H4" s="54" t="s">
        <v>113</v>
      </c>
      <c r="I4" s="63">
        <v>10</v>
      </c>
      <c r="J4" s="64" t="s">
        <v>18</v>
      </c>
      <c r="K4" s="65">
        <v>10</v>
      </c>
      <c r="L4" s="51" t="s">
        <v>20</v>
      </c>
      <c r="M4" s="66">
        <v>10</v>
      </c>
      <c r="N4" s="51" t="s">
        <v>124</v>
      </c>
      <c r="O4" s="63">
        <v>10</v>
      </c>
      <c r="P4" s="51" t="s">
        <v>126</v>
      </c>
      <c r="Q4" s="62">
        <v>10</v>
      </c>
      <c r="R4" s="47" t="s">
        <v>15</v>
      </c>
      <c r="S4" s="66">
        <v>10</v>
      </c>
      <c r="T4" s="51" t="s">
        <v>133</v>
      </c>
      <c r="U4" s="63">
        <v>10</v>
      </c>
      <c r="V4" s="51" t="s">
        <v>41</v>
      </c>
      <c r="W4" s="67">
        <v>10</v>
      </c>
      <c r="X4" s="51"/>
      <c r="Y4" s="51"/>
      <c r="Z4" s="51"/>
      <c r="AA4" s="7"/>
    </row>
    <row r="5" spans="1:27" s="6" customFormat="1" ht="11.25" hidden="1" customHeight="1" x14ac:dyDescent="0.25">
      <c r="A5" s="68" t="s">
        <v>0</v>
      </c>
      <c r="B5" s="69">
        <v>0.2122</v>
      </c>
      <c r="C5" s="70">
        <f>$C$4*B5</f>
        <v>0.16976000000000002</v>
      </c>
      <c r="D5" s="51"/>
      <c r="E5" s="71"/>
      <c r="F5" s="51" t="s">
        <v>42</v>
      </c>
      <c r="G5" s="62">
        <v>9</v>
      </c>
      <c r="H5" s="51" t="s">
        <v>114</v>
      </c>
      <c r="I5" s="63">
        <v>9</v>
      </c>
      <c r="J5" s="64" t="s">
        <v>11</v>
      </c>
      <c r="K5" s="65">
        <v>9</v>
      </c>
      <c r="L5" s="51" t="s">
        <v>117</v>
      </c>
      <c r="M5" s="66">
        <v>9.5</v>
      </c>
      <c r="N5" s="51"/>
      <c r="O5" s="53"/>
      <c r="P5" s="51" t="s">
        <v>125</v>
      </c>
      <c r="Q5" s="62">
        <v>8</v>
      </c>
      <c r="R5" s="47" t="s">
        <v>14</v>
      </c>
      <c r="S5" s="66">
        <v>8</v>
      </c>
      <c r="T5" s="51" t="s">
        <v>134</v>
      </c>
      <c r="U5" s="63">
        <v>9</v>
      </c>
      <c r="V5" s="51"/>
      <c r="W5" s="67"/>
      <c r="X5" s="51"/>
      <c r="Y5" s="51"/>
      <c r="Z5" s="51"/>
      <c r="AA5" s="7"/>
    </row>
    <row r="6" spans="1:27" s="6" customFormat="1" ht="11.25" hidden="1" customHeight="1" x14ac:dyDescent="0.25">
      <c r="A6" s="68" t="s">
        <v>4</v>
      </c>
      <c r="B6" s="69">
        <v>0.12859999999999999</v>
      </c>
      <c r="C6" s="70">
        <f t="shared" ref="C6:C13" si="0">$C$4*B6</f>
        <v>0.10288</v>
      </c>
      <c r="D6" s="51"/>
      <c r="E6" s="71"/>
      <c r="F6" s="51" t="s">
        <v>43</v>
      </c>
      <c r="G6" s="62">
        <v>8.5</v>
      </c>
      <c r="H6" s="54" t="s">
        <v>115</v>
      </c>
      <c r="I6" s="63">
        <v>8</v>
      </c>
      <c r="J6" s="64" t="s">
        <v>12</v>
      </c>
      <c r="K6" s="65">
        <v>8</v>
      </c>
      <c r="L6" s="51" t="s">
        <v>118</v>
      </c>
      <c r="M6" s="66">
        <v>9</v>
      </c>
      <c r="N6" s="51"/>
      <c r="O6" s="53"/>
      <c r="P6" s="72" t="s">
        <v>131</v>
      </c>
      <c r="Q6" s="62">
        <v>7</v>
      </c>
      <c r="R6" s="47" t="s">
        <v>13</v>
      </c>
      <c r="S6" s="66">
        <v>6</v>
      </c>
      <c r="T6" s="51" t="s">
        <v>135</v>
      </c>
      <c r="U6" s="63">
        <v>7</v>
      </c>
      <c r="V6" s="51"/>
      <c r="W6" s="52"/>
      <c r="X6" s="51"/>
      <c r="Y6" s="51"/>
      <c r="Z6" s="51"/>
      <c r="AA6" s="7"/>
    </row>
    <row r="7" spans="1:27" s="6" customFormat="1" ht="11.25" hidden="1" customHeight="1" x14ac:dyDescent="0.2">
      <c r="A7" s="73" t="s">
        <v>17</v>
      </c>
      <c r="B7" s="69">
        <v>0.2122</v>
      </c>
      <c r="C7" s="70">
        <f t="shared" si="0"/>
        <v>0.16976000000000002</v>
      </c>
      <c r="D7" s="72"/>
      <c r="E7" s="71"/>
      <c r="F7" s="51" t="s">
        <v>141</v>
      </c>
      <c r="G7" s="62">
        <v>8</v>
      </c>
      <c r="H7" s="54" t="s">
        <v>116</v>
      </c>
      <c r="I7" s="74">
        <v>7</v>
      </c>
      <c r="J7" s="75"/>
      <c r="K7" s="51"/>
      <c r="L7" s="72" t="s">
        <v>119</v>
      </c>
      <c r="M7" s="66">
        <v>7.5</v>
      </c>
      <c r="N7" s="51"/>
      <c r="O7" s="53"/>
      <c r="P7" s="72" t="s">
        <v>132</v>
      </c>
      <c r="Q7" s="62">
        <v>6.5</v>
      </c>
      <c r="R7" s="51"/>
      <c r="S7" s="52"/>
      <c r="T7" s="72" t="s">
        <v>136</v>
      </c>
      <c r="U7" s="63">
        <v>6</v>
      </c>
      <c r="V7" s="51"/>
      <c r="W7" s="52"/>
      <c r="X7" s="51"/>
      <c r="Y7" s="51"/>
      <c r="Z7" s="51"/>
      <c r="AA7" s="7"/>
    </row>
    <row r="8" spans="1:27" s="6" customFormat="1" ht="11.25" hidden="1" customHeight="1" x14ac:dyDescent="0.2">
      <c r="A8" s="76" t="s">
        <v>5</v>
      </c>
      <c r="B8" s="69">
        <v>0.1</v>
      </c>
      <c r="C8" s="70">
        <f t="shared" si="0"/>
        <v>8.0000000000000016E-2</v>
      </c>
      <c r="D8" s="72"/>
      <c r="E8" s="77"/>
      <c r="F8" s="51" t="s">
        <v>142</v>
      </c>
      <c r="G8" s="62">
        <v>7.5</v>
      </c>
      <c r="H8" s="54"/>
      <c r="I8" s="71"/>
      <c r="J8" s="75"/>
      <c r="K8" s="51"/>
      <c r="L8" s="72" t="s">
        <v>120</v>
      </c>
      <c r="M8" s="66">
        <v>7</v>
      </c>
      <c r="N8" s="51"/>
      <c r="O8" s="53"/>
      <c r="P8" s="51" t="s">
        <v>127</v>
      </c>
      <c r="Q8" s="62">
        <v>6</v>
      </c>
      <c r="R8" s="51"/>
      <c r="S8" s="52"/>
      <c r="T8" s="72" t="s">
        <v>137</v>
      </c>
      <c r="U8" s="63">
        <v>5</v>
      </c>
      <c r="V8" s="51"/>
      <c r="W8" s="52"/>
      <c r="X8" s="51"/>
      <c r="Y8" s="51"/>
      <c r="Z8" s="51"/>
      <c r="AA8" s="7"/>
    </row>
    <row r="9" spans="1:27" s="6" customFormat="1" ht="11.25" hidden="1" customHeight="1" x14ac:dyDescent="0.2">
      <c r="A9" s="78" t="s">
        <v>4</v>
      </c>
      <c r="B9" s="69">
        <v>0.11219999999999999</v>
      </c>
      <c r="C9" s="70">
        <f t="shared" si="0"/>
        <v>8.9760000000000006E-2</v>
      </c>
      <c r="D9" s="72"/>
      <c r="E9" s="77"/>
      <c r="F9" s="51" t="s">
        <v>143</v>
      </c>
      <c r="G9" s="62">
        <v>7</v>
      </c>
      <c r="H9" s="54"/>
      <c r="I9" s="71"/>
      <c r="J9" s="75"/>
      <c r="K9" s="51"/>
      <c r="L9" s="72" t="s">
        <v>45</v>
      </c>
      <c r="M9" s="66">
        <v>6.5</v>
      </c>
      <c r="N9" s="51"/>
      <c r="O9" s="53"/>
      <c r="P9" s="51" t="s">
        <v>128</v>
      </c>
      <c r="Q9" s="79">
        <v>5</v>
      </c>
      <c r="R9" s="51"/>
      <c r="S9" s="52"/>
      <c r="T9" s="51"/>
      <c r="U9" s="53"/>
      <c r="V9" s="51"/>
      <c r="W9" s="52"/>
      <c r="X9" s="51"/>
      <c r="Y9" s="51"/>
      <c r="Z9" s="51"/>
      <c r="AA9" s="7"/>
    </row>
    <row r="10" spans="1:27" s="6" customFormat="1" ht="11.25" hidden="1" customHeight="1" x14ac:dyDescent="0.2">
      <c r="A10" s="80" t="s">
        <v>6</v>
      </c>
      <c r="B10" s="69">
        <v>5.0999999999999997E-2</v>
      </c>
      <c r="C10" s="70">
        <f t="shared" si="0"/>
        <v>4.0800000000000003E-2</v>
      </c>
      <c r="D10" s="72" t="s">
        <v>16</v>
      </c>
      <c r="E10" s="51"/>
      <c r="F10" s="51" t="s">
        <v>144</v>
      </c>
      <c r="G10" s="63">
        <v>6.5</v>
      </c>
      <c r="H10" s="54"/>
      <c r="I10" s="71"/>
      <c r="J10" s="75"/>
      <c r="K10" s="51"/>
      <c r="L10" s="51" t="s">
        <v>46</v>
      </c>
      <c r="M10" s="66">
        <v>6</v>
      </c>
      <c r="N10" s="51"/>
      <c r="O10" s="53"/>
      <c r="P10" s="51" t="s">
        <v>129</v>
      </c>
      <c r="Q10" s="62">
        <v>4.5</v>
      </c>
      <c r="R10" s="51"/>
      <c r="S10" s="52"/>
      <c r="T10" s="51"/>
      <c r="U10" s="53"/>
      <c r="V10" s="51"/>
      <c r="W10" s="52"/>
      <c r="X10" s="51"/>
      <c r="Y10" s="51"/>
      <c r="Z10" s="51"/>
      <c r="AA10" s="7"/>
    </row>
    <row r="11" spans="1:27" s="6" customFormat="1" ht="11.25" hidden="1" customHeight="1" x14ac:dyDescent="0.2">
      <c r="A11" s="81" t="s">
        <v>7</v>
      </c>
      <c r="B11" s="69">
        <v>7.8700000000000006E-2</v>
      </c>
      <c r="C11" s="70">
        <f t="shared" si="0"/>
        <v>6.2960000000000002E-2</v>
      </c>
      <c r="D11" s="72"/>
      <c r="E11" s="61">
        <v>9</v>
      </c>
      <c r="F11" s="51" t="s">
        <v>37</v>
      </c>
      <c r="G11" s="63">
        <v>10</v>
      </c>
      <c r="H11" s="54"/>
      <c r="I11" s="71"/>
      <c r="J11" s="75"/>
      <c r="K11" s="51"/>
      <c r="L11" s="51" t="s">
        <v>49</v>
      </c>
      <c r="M11" s="66">
        <v>5.5</v>
      </c>
      <c r="N11" s="51"/>
      <c r="O11" s="53"/>
      <c r="P11" s="51" t="s">
        <v>130</v>
      </c>
      <c r="Q11" s="62">
        <v>3.5</v>
      </c>
      <c r="R11" s="51"/>
      <c r="S11" s="52"/>
      <c r="T11" s="51"/>
      <c r="U11" s="53"/>
      <c r="V11" s="51"/>
      <c r="W11" s="52"/>
      <c r="X11" s="51"/>
      <c r="Y11" s="51"/>
      <c r="Z11" s="51"/>
      <c r="AA11" s="7"/>
    </row>
    <row r="12" spans="1:27" s="6" customFormat="1" ht="11.25" hidden="1" customHeight="1" x14ac:dyDescent="0.2">
      <c r="A12" s="82" t="s">
        <v>9</v>
      </c>
      <c r="B12" s="69">
        <v>2.64E-2</v>
      </c>
      <c r="C12" s="70">
        <f t="shared" si="0"/>
        <v>2.112E-2</v>
      </c>
      <c r="D12" s="72"/>
      <c r="E12" s="77"/>
      <c r="F12" s="51" t="s">
        <v>36</v>
      </c>
      <c r="G12" s="63">
        <v>9</v>
      </c>
      <c r="H12" s="54"/>
      <c r="I12" s="71"/>
      <c r="J12" s="75"/>
      <c r="K12" s="51"/>
      <c r="L12" s="51" t="s">
        <v>47</v>
      </c>
      <c r="M12" s="66">
        <v>5</v>
      </c>
      <c r="N12" s="51"/>
      <c r="O12" s="53"/>
      <c r="P12" s="51"/>
      <c r="Q12" s="83"/>
      <c r="R12" s="51"/>
      <c r="S12" s="52"/>
      <c r="T12" s="51"/>
      <c r="U12" s="53"/>
      <c r="V12" s="51"/>
      <c r="W12" s="52"/>
      <c r="X12" s="51"/>
      <c r="Y12" s="51"/>
      <c r="Z12" s="51"/>
      <c r="AA12" s="7"/>
    </row>
    <row r="13" spans="1:27" s="6" customFormat="1" ht="11.25" hidden="1" customHeight="1" x14ac:dyDescent="0.2">
      <c r="A13" s="76" t="s">
        <v>39</v>
      </c>
      <c r="B13" s="69">
        <v>7.8700000000000006E-2</v>
      </c>
      <c r="C13" s="70">
        <f t="shared" si="0"/>
        <v>6.2960000000000002E-2</v>
      </c>
      <c r="D13" s="72" t="s">
        <v>3</v>
      </c>
      <c r="E13" s="77"/>
      <c r="F13" s="51" t="s">
        <v>35</v>
      </c>
      <c r="G13" s="63">
        <v>8</v>
      </c>
      <c r="H13" s="54"/>
      <c r="I13" s="71"/>
      <c r="J13" s="75"/>
      <c r="K13" s="51"/>
      <c r="L13" s="51" t="s">
        <v>48</v>
      </c>
      <c r="M13" s="66">
        <v>4.5</v>
      </c>
      <c r="N13" s="51"/>
      <c r="O13" s="53"/>
      <c r="P13" s="51"/>
      <c r="Q13" s="53"/>
      <c r="R13" s="51"/>
      <c r="S13" s="52"/>
      <c r="T13" s="51"/>
      <c r="U13" s="53"/>
      <c r="V13" s="51"/>
      <c r="W13" s="52"/>
      <c r="X13" s="51"/>
      <c r="Y13" s="51"/>
      <c r="Z13" s="51"/>
      <c r="AA13" s="7"/>
    </row>
    <row r="14" spans="1:27" s="6" customFormat="1" ht="11.25" hidden="1" customHeight="1" x14ac:dyDescent="0.2">
      <c r="A14" s="55" t="s">
        <v>50</v>
      </c>
      <c r="B14" s="84">
        <f>SUM(B5:B13)</f>
        <v>0.99999999999999989</v>
      </c>
      <c r="C14" s="85">
        <f>SUM(C5:C13)</f>
        <v>0.8</v>
      </c>
      <c r="D14" s="72"/>
      <c r="E14" s="61">
        <v>8</v>
      </c>
      <c r="F14" s="86" t="s">
        <v>34</v>
      </c>
      <c r="G14" s="63">
        <v>10</v>
      </c>
      <c r="H14" s="54"/>
      <c r="I14" s="71"/>
      <c r="J14" s="75"/>
      <c r="K14" s="51"/>
      <c r="L14" s="51" t="s">
        <v>121</v>
      </c>
      <c r="M14" s="66">
        <v>4</v>
      </c>
      <c r="N14" s="51"/>
      <c r="O14" s="53"/>
      <c r="P14" s="51"/>
      <c r="Q14" s="53"/>
      <c r="R14" s="51"/>
      <c r="S14" s="52"/>
      <c r="T14" s="51"/>
      <c r="U14" s="53"/>
      <c r="V14" s="51"/>
      <c r="W14" s="52"/>
      <c r="X14" s="51"/>
      <c r="Y14" s="51"/>
      <c r="Z14" s="51"/>
      <c r="AA14" s="7"/>
    </row>
    <row r="15" spans="1:27" s="6" customFormat="1" ht="11.25" hidden="1" customHeight="1" x14ac:dyDescent="0.2">
      <c r="A15" s="51"/>
      <c r="B15" s="51"/>
      <c r="C15" s="87"/>
      <c r="D15" s="51"/>
      <c r="E15" s="77"/>
      <c r="F15" s="86">
        <v>9400</v>
      </c>
      <c r="G15" s="63">
        <v>9</v>
      </c>
      <c r="H15" s="54"/>
      <c r="I15" s="71"/>
      <c r="J15" s="51"/>
      <c r="K15" s="53"/>
      <c r="L15" s="51" t="s">
        <v>31</v>
      </c>
      <c r="M15" s="88">
        <v>10</v>
      </c>
      <c r="N15" s="51"/>
      <c r="O15" s="53"/>
      <c r="P15" s="51"/>
      <c r="Q15" s="53"/>
      <c r="R15" s="51"/>
      <c r="S15" s="52"/>
      <c r="T15" s="51"/>
      <c r="U15" s="53"/>
      <c r="V15" s="51"/>
      <c r="W15" s="52"/>
      <c r="X15" s="51"/>
      <c r="Y15" s="51"/>
      <c r="Z15" s="51"/>
      <c r="AA15" s="7"/>
    </row>
    <row r="16" spans="1:27" s="6" customFormat="1" ht="11.25" hidden="1" customHeight="1" x14ac:dyDescent="0.2">
      <c r="A16" s="89" t="s">
        <v>38</v>
      </c>
      <c r="B16" s="90"/>
      <c r="C16" s="91">
        <v>0.2</v>
      </c>
      <c r="D16" s="51"/>
      <c r="E16" s="71"/>
      <c r="F16" s="86" t="s">
        <v>33</v>
      </c>
      <c r="G16" s="63">
        <v>8</v>
      </c>
      <c r="H16" s="54"/>
      <c r="I16" s="71"/>
      <c r="J16" s="51"/>
      <c r="K16" s="53"/>
      <c r="L16" s="51" t="s">
        <v>21</v>
      </c>
      <c r="M16" s="88">
        <v>9.5</v>
      </c>
      <c r="N16" s="51"/>
      <c r="O16" s="53"/>
      <c r="P16" s="51"/>
      <c r="Q16" s="53"/>
      <c r="R16" s="51"/>
      <c r="S16" s="52"/>
      <c r="T16" s="51"/>
      <c r="U16" s="53"/>
      <c r="V16" s="51"/>
      <c r="W16" s="52"/>
      <c r="X16" s="51"/>
      <c r="Y16" s="51"/>
      <c r="Z16" s="51"/>
      <c r="AA16" s="7"/>
    </row>
    <row r="17" spans="1:27" s="6" customFormat="1" ht="11.25" hidden="1" customHeight="1" x14ac:dyDescent="0.2">
      <c r="A17" s="51"/>
      <c r="B17" s="92" t="s">
        <v>50</v>
      </c>
      <c r="C17" s="93">
        <f>C14+C16</f>
        <v>1</v>
      </c>
      <c r="D17" s="72" t="s">
        <v>2</v>
      </c>
      <c r="E17" s="71"/>
      <c r="F17" s="86">
        <v>9200</v>
      </c>
      <c r="G17" s="63">
        <v>7</v>
      </c>
      <c r="H17" s="54"/>
      <c r="I17" s="71"/>
      <c r="J17" s="51"/>
      <c r="K17" s="53"/>
      <c r="L17" s="51" t="s">
        <v>22</v>
      </c>
      <c r="M17" s="88">
        <v>9</v>
      </c>
      <c r="N17" s="51"/>
      <c r="O17" s="53"/>
      <c r="P17" s="51"/>
      <c r="Q17" s="53"/>
      <c r="R17" s="51"/>
      <c r="S17" s="52"/>
      <c r="T17" s="51"/>
      <c r="U17" s="53"/>
      <c r="V17" s="51"/>
      <c r="W17" s="52"/>
      <c r="X17" s="51"/>
      <c r="Y17" s="51"/>
      <c r="Z17" s="51"/>
      <c r="AA17" s="7"/>
    </row>
    <row r="18" spans="1:27" s="6" customFormat="1" ht="11.25" hidden="1" customHeight="1" x14ac:dyDescent="0.2">
      <c r="A18" s="51"/>
      <c r="B18" s="51"/>
      <c r="C18" s="51"/>
      <c r="D18" s="51"/>
      <c r="E18" s="61">
        <v>7</v>
      </c>
      <c r="F18" s="51" t="s">
        <v>29</v>
      </c>
      <c r="G18" s="63">
        <v>10</v>
      </c>
      <c r="H18" s="54"/>
      <c r="I18" s="71"/>
      <c r="J18" s="51"/>
      <c r="K18" s="53"/>
      <c r="L18" s="51" t="s">
        <v>23</v>
      </c>
      <c r="M18" s="88">
        <v>8.5</v>
      </c>
      <c r="N18" s="51"/>
      <c r="O18" s="53"/>
      <c r="P18" s="51"/>
      <c r="Q18" s="53"/>
      <c r="R18" s="51"/>
      <c r="S18" s="52"/>
      <c r="T18" s="51"/>
      <c r="U18" s="53"/>
      <c r="V18" s="51"/>
      <c r="W18" s="52"/>
      <c r="X18" s="51"/>
      <c r="Y18" s="51"/>
      <c r="Z18" s="51"/>
      <c r="AA18" s="7"/>
    </row>
    <row r="19" spans="1:27" s="6" customFormat="1" ht="11.25" hidden="1" customHeight="1" x14ac:dyDescent="0.2">
      <c r="A19" s="51"/>
      <c r="B19" s="51"/>
      <c r="C19" s="51"/>
      <c r="D19" s="51"/>
      <c r="E19" s="51"/>
      <c r="F19" s="51" t="s">
        <v>30</v>
      </c>
      <c r="G19" s="63">
        <v>9</v>
      </c>
      <c r="H19" s="54"/>
      <c r="I19" s="71"/>
      <c r="J19" s="51"/>
      <c r="K19" s="53"/>
      <c r="L19" s="51" t="s">
        <v>24</v>
      </c>
      <c r="M19" s="88">
        <v>8</v>
      </c>
      <c r="N19" s="51"/>
      <c r="O19" s="53"/>
      <c r="P19" s="51"/>
      <c r="Q19" s="53"/>
      <c r="R19" s="51"/>
      <c r="S19" s="52"/>
      <c r="T19" s="51"/>
      <c r="U19" s="53"/>
      <c r="V19" s="51"/>
      <c r="W19" s="52"/>
      <c r="X19" s="51"/>
      <c r="Y19" s="51"/>
      <c r="Z19" s="51"/>
      <c r="AA19" s="7"/>
    </row>
    <row r="20" spans="1:27" s="7" customFormat="1" ht="11.25" hidden="1" customHeight="1" x14ac:dyDescent="0.2">
      <c r="A20" s="52"/>
      <c r="B20" s="52"/>
      <c r="C20" s="52"/>
      <c r="D20" s="52"/>
      <c r="E20" s="52"/>
      <c r="F20" s="51" t="s">
        <v>32</v>
      </c>
      <c r="G20" s="94">
        <v>8</v>
      </c>
      <c r="H20" s="53"/>
      <c r="I20" s="53"/>
      <c r="J20" s="52"/>
      <c r="K20" s="53"/>
      <c r="L20" s="51" t="s">
        <v>25</v>
      </c>
      <c r="M20" s="88">
        <v>7.5</v>
      </c>
      <c r="N20" s="52"/>
      <c r="O20" s="53"/>
      <c r="P20" s="52"/>
      <c r="Q20" s="53"/>
      <c r="R20" s="52"/>
      <c r="S20" s="52"/>
      <c r="T20" s="52"/>
      <c r="U20" s="53"/>
      <c r="V20" s="52"/>
      <c r="W20" s="52"/>
      <c r="X20" s="52"/>
      <c r="Y20" s="52"/>
      <c r="Z20" s="52"/>
    </row>
    <row r="21" spans="1:27" s="7" customFormat="1" ht="11.25" hidden="1" customHeight="1" x14ac:dyDescent="0.2">
      <c r="A21" s="52"/>
      <c r="B21" s="55" t="s">
        <v>40</v>
      </c>
      <c r="C21" s="95" t="s">
        <v>123</v>
      </c>
      <c r="D21" s="52"/>
      <c r="E21" s="52" t="s">
        <v>123</v>
      </c>
      <c r="F21" s="52" t="s">
        <v>94</v>
      </c>
      <c r="G21" s="52"/>
      <c r="H21" s="53"/>
      <c r="I21" s="53"/>
      <c r="J21" s="52"/>
      <c r="K21" s="53"/>
      <c r="L21" s="51" t="s">
        <v>19</v>
      </c>
      <c r="M21" s="88">
        <v>10</v>
      </c>
      <c r="N21" s="52"/>
      <c r="O21" s="53"/>
      <c r="P21" s="52"/>
      <c r="Q21" s="53"/>
      <c r="R21" s="52"/>
      <c r="S21" s="52"/>
      <c r="T21" s="52"/>
      <c r="U21" s="53"/>
      <c r="V21" s="52"/>
      <c r="W21" s="52"/>
      <c r="X21" s="52" t="s">
        <v>246</v>
      </c>
      <c r="Y21" s="52" t="s">
        <v>123</v>
      </c>
      <c r="Z21" s="52"/>
    </row>
    <row r="22" spans="1:27" s="7" customFormat="1" ht="11.25" hidden="1" customHeight="1" x14ac:dyDescent="0.25">
      <c r="A22" s="52"/>
      <c r="B22" s="96" t="s">
        <v>88</v>
      </c>
      <c r="C22" s="97">
        <v>1.3</v>
      </c>
      <c r="D22" s="52"/>
      <c r="E22" s="98">
        <v>1</v>
      </c>
      <c r="F22" s="51" t="s">
        <v>98</v>
      </c>
      <c r="G22" s="99"/>
      <c r="H22" s="53"/>
      <c r="I22" s="53"/>
      <c r="J22" s="52"/>
      <c r="K22" s="53"/>
      <c r="L22" s="51" t="s">
        <v>28</v>
      </c>
      <c r="M22" s="88">
        <v>9.5</v>
      </c>
      <c r="N22" s="52"/>
      <c r="O22" s="53"/>
      <c r="P22" s="52"/>
      <c r="Q22" s="53"/>
      <c r="R22" s="52"/>
      <c r="S22" s="52"/>
      <c r="T22" s="52"/>
      <c r="U22" s="53"/>
      <c r="V22" s="52"/>
      <c r="W22" s="52"/>
      <c r="X22" s="47" t="s">
        <v>240</v>
      </c>
      <c r="Y22" s="100">
        <v>10</v>
      </c>
      <c r="Z22" s="52"/>
    </row>
    <row r="23" spans="1:27" s="7" customFormat="1" ht="11.25" hidden="1" customHeight="1" x14ac:dyDescent="0.25">
      <c r="A23" s="52"/>
      <c r="B23" s="101" t="s">
        <v>87</v>
      </c>
      <c r="C23" s="66">
        <v>1.2</v>
      </c>
      <c r="D23" s="52"/>
      <c r="E23" s="98">
        <v>0.9</v>
      </c>
      <c r="F23" s="51" t="s">
        <v>101</v>
      </c>
      <c r="G23" s="99"/>
      <c r="H23" s="53"/>
      <c r="I23" s="53"/>
      <c r="J23" s="52"/>
      <c r="K23" s="53"/>
      <c r="L23" s="51" t="s">
        <v>26</v>
      </c>
      <c r="M23" s="88">
        <v>9</v>
      </c>
      <c r="N23" s="52"/>
      <c r="O23" s="53"/>
      <c r="P23" s="52"/>
      <c r="Q23" s="53"/>
      <c r="R23" s="52"/>
      <c r="S23" s="52"/>
      <c r="T23" s="52"/>
      <c r="U23" s="53"/>
      <c r="V23" s="52"/>
      <c r="W23" s="52"/>
      <c r="X23" s="47" t="s">
        <v>241</v>
      </c>
      <c r="Y23" s="100">
        <v>9.5</v>
      </c>
      <c r="Z23" s="52"/>
    </row>
    <row r="24" spans="1:27" s="7" customFormat="1" ht="11.25" hidden="1" customHeight="1" x14ac:dyDescent="0.25">
      <c r="A24" s="52"/>
      <c r="B24" s="101" t="s">
        <v>89</v>
      </c>
      <c r="C24" s="66">
        <v>1.1000000000000001</v>
      </c>
      <c r="D24" s="52"/>
      <c r="E24" s="98">
        <v>0.8</v>
      </c>
      <c r="F24" s="51" t="s">
        <v>99</v>
      </c>
      <c r="G24" s="99"/>
      <c r="H24" s="53"/>
      <c r="I24" s="53"/>
      <c r="J24" s="52"/>
      <c r="K24" s="53"/>
      <c r="L24" s="86">
        <v>3406</v>
      </c>
      <c r="M24" s="88">
        <v>8</v>
      </c>
      <c r="N24" s="52"/>
      <c r="O24" s="53"/>
      <c r="P24" s="52"/>
      <c r="Q24" s="53"/>
      <c r="R24" s="52"/>
      <c r="S24" s="52"/>
      <c r="T24" s="52"/>
      <c r="U24" s="53"/>
      <c r="V24" s="52"/>
      <c r="W24" s="52"/>
      <c r="X24" s="47" t="s">
        <v>242</v>
      </c>
      <c r="Y24" s="100">
        <v>9</v>
      </c>
      <c r="Z24" s="52"/>
    </row>
    <row r="25" spans="1:27" s="7" customFormat="1" ht="11.25" hidden="1" customHeight="1" x14ac:dyDescent="0.25">
      <c r="A25" s="52"/>
      <c r="B25" s="101" t="s">
        <v>86</v>
      </c>
      <c r="C25" s="66">
        <v>1</v>
      </c>
      <c r="D25" s="52"/>
      <c r="E25" s="98">
        <v>0.7</v>
      </c>
      <c r="F25" s="72" t="s">
        <v>102</v>
      </c>
      <c r="G25" s="99"/>
      <c r="H25" s="53"/>
      <c r="I25" s="53"/>
      <c r="J25" s="52"/>
      <c r="K25" s="53"/>
      <c r="L25" s="51" t="s">
        <v>27</v>
      </c>
      <c r="M25" s="88">
        <v>7</v>
      </c>
      <c r="N25" s="52"/>
      <c r="O25" s="53"/>
      <c r="P25" s="52"/>
      <c r="Q25" s="53"/>
      <c r="R25" s="52"/>
      <c r="S25" s="52"/>
      <c r="T25" s="52"/>
      <c r="U25" s="53"/>
      <c r="V25" s="52"/>
      <c r="W25" s="52"/>
      <c r="X25" s="47" t="s">
        <v>243</v>
      </c>
      <c r="Y25" s="100">
        <v>8</v>
      </c>
      <c r="Z25" s="52"/>
    </row>
    <row r="26" spans="1:27" s="7" customFormat="1" ht="11.25" hidden="1" customHeight="1" x14ac:dyDescent="0.25">
      <c r="A26" s="52"/>
      <c r="B26" s="101" t="s">
        <v>90</v>
      </c>
      <c r="C26" s="66">
        <v>0.9</v>
      </c>
      <c r="D26" s="52"/>
      <c r="E26" s="98">
        <v>0.6</v>
      </c>
      <c r="F26" s="72" t="s">
        <v>103</v>
      </c>
      <c r="G26" s="99"/>
      <c r="H26" s="53"/>
      <c r="I26" s="53"/>
      <c r="J26" s="52"/>
      <c r="K26" s="53"/>
      <c r="L26" s="52"/>
      <c r="M26" s="53"/>
      <c r="N26" s="52"/>
      <c r="O26" s="53"/>
      <c r="P26" s="52"/>
      <c r="Q26" s="53"/>
      <c r="R26" s="52"/>
      <c r="S26" s="52"/>
      <c r="T26" s="52"/>
      <c r="U26" s="53"/>
      <c r="V26" s="52"/>
      <c r="W26" s="52"/>
      <c r="X26" s="47" t="s">
        <v>244</v>
      </c>
      <c r="Y26" s="100">
        <v>7</v>
      </c>
      <c r="Z26" s="52"/>
    </row>
    <row r="27" spans="1:27" s="7" customFormat="1" ht="11.25" hidden="1" customHeight="1" x14ac:dyDescent="0.25">
      <c r="A27" s="52"/>
      <c r="B27" s="101" t="s">
        <v>91</v>
      </c>
      <c r="C27" s="66">
        <v>0.8</v>
      </c>
      <c r="D27" s="52"/>
      <c r="E27" s="98">
        <v>0.5</v>
      </c>
      <c r="F27" s="72" t="s">
        <v>105</v>
      </c>
      <c r="G27" s="99"/>
      <c r="H27" s="53"/>
      <c r="I27" s="53"/>
      <c r="J27" s="52"/>
      <c r="K27" s="53"/>
      <c r="L27" s="52"/>
      <c r="M27" s="53"/>
      <c r="N27" s="52"/>
      <c r="O27" s="53"/>
      <c r="P27" s="52"/>
      <c r="Q27" s="53"/>
      <c r="R27" s="52"/>
      <c r="S27" s="52"/>
      <c r="T27" s="52"/>
      <c r="U27" s="53"/>
      <c r="V27" s="52"/>
      <c r="W27" s="52"/>
      <c r="X27" s="47" t="s">
        <v>245</v>
      </c>
      <c r="Y27" s="100">
        <v>6</v>
      </c>
      <c r="Z27" s="52"/>
    </row>
    <row r="28" spans="1:27" s="7" customFormat="1" ht="11.25" hidden="1" customHeight="1" x14ac:dyDescent="0.25">
      <c r="A28" s="52"/>
      <c r="B28" s="101" t="s">
        <v>92</v>
      </c>
      <c r="C28" s="66">
        <v>0.7</v>
      </c>
      <c r="D28" s="52"/>
      <c r="E28" s="98">
        <v>0.4</v>
      </c>
      <c r="F28" s="51" t="s">
        <v>104</v>
      </c>
      <c r="G28" s="99"/>
      <c r="H28" s="53"/>
      <c r="I28" s="53"/>
      <c r="J28" s="52"/>
      <c r="K28" s="53"/>
      <c r="L28" s="52"/>
      <c r="M28" s="53"/>
      <c r="N28" s="52"/>
      <c r="O28" s="53"/>
      <c r="P28" s="52"/>
      <c r="Q28" s="53"/>
      <c r="R28" s="52"/>
      <c r="S28" s="52"/>
      <c r="T28" s="52"/>
      <c r="U28" s="53"/>
      <c r="V28" s="52"/>
      <c r="W28" s="52"/>
      <c r="X28" s="47" t="s">
        <v>245</v>
      </c>
      <c r="Y28" s="100">
        <v>5</v>
      </c>
      <c r="Z28" s="52"/>
    </row>
    <row r="29" spans="1:27" s="7" customFormat="1" ht="11.25" hidden="1" customHeight="1" x14ac:dyDescent="0.2">
      <c r="A29" s="52"/>
      <c r="B29" s="52"/>
      <c r="C29" s="52"/>
      <c r="D29" s="52"/>
      <c r="E29" s="98">
        <v>0.3</v>
      </c>
      <c r="F29" s="51" t="s">
        <v>106</v>
      </c>
      <c r="G29" s="99"/>
      <c r="H29" s="53"/>
      <c r="I29" s="53"/>
      <c r="J29" s="52"/>
      <c r="K29" s="53"/>
      <c r="L29" s="52"/>
      <c r="M29" s="53"/>
      <c r="N29" s="52"/>
      <c r="O29" s="53"/>
      <c r="P29" s="52"/>
      <c r="Q29" s="53"/>
      <c r="R29" s="52"/>
      <c r="S29" s="52"/>
      <c r="T29" s="52"/>
      <c r="U29" s="53"/>
      <c r="V29" s="52"/>
      <c r="W29" s="52"/>
      <c r="X29" s="52"/>
      <c r="Y29" s="52"/>
      <c r="Z29" s="52"/>
    </row>
    <row r="30" spans="1:27" s="7" customFormat="1" ht="11.25" hidden="1" customHeight="1" x14ac:dyDescent="0.2">
      <c r="A30" s="52"/>
      <c r="B30" s="102" t="s">
        <v>83</v>
      </c>
      <c r="C30" s="103">
        <v>12</v>
      </c>
      <c r="D30" s="52"/>
      <c r="E30" s="98">
        <v>0.2</v>
      </c>
      <c r="F30" s="51" t="s">
        <v>100</v>
      </c>
      <c r="G30" s="99"/>
      <c r="H30" s="53"/>
      <c r="I30" s="53"/>
      <c r="J30" s="52"/>
      <c r="K30" s="53"/>
      <c r="L30" s="52"/>
      <c r="M30" s="53"/>
      <c r="N30" s="52"/>
      <c r="O30" s="53"/>
      <c r="P30" s="52"/>
      <c r="Q30" s="53"/>
      <c r="R30" s="52"/>
      <c r="S30" s="52"/>
      <c r="T30" s="52"/>
      <c r="U30" s="53"/>
      <c r="V30" s="52"/>
      <c r="W30" s="52"/>
      <c r="X30" s="52"/>
      <c r="Y30" s="52"/>
      <c r="Z30" s="52"/>
    </row>
    <row r="31" spans="1:27" s="7" customFormat="1" ht="11.25" hidden="1" customHeight="1" x14ac:dyDescent="0.2">
      <c r="A31" s="52"/>
      <c r="B31" s="52"/>
      <c r="C31" s="52"/>
      <c r="D31" s="52"/>
      <c r="E31" s="98">
        <v>0</v>
      </c>
      <c r="F31" s="72" t="s">
        <v>267</v>
      </c>
      <c r="G31" s="99"/>
      <c r="H31" s="53"/>
      <c r="I31" s="53"/>
      <c r="J31" s="52"/>
      <c r="K31" s="53"/>
      <c r="L31" s="52"/>
      <c r="M31" s="53"/>
      <c r="N31" s="52"/>
      <c r="O31" s="53"/>
      <c r="P31" s="52"/>
      <c r="Q31" s="53"/>
      <c r="R31" s="52"/>
      <c r="S31" s="52"/>
      <c r="T31" s="52"/>
      <c r="U31" s="53"/>
      <c r="V31" s="52"/>
      <c r="W31" s="52"/>
      <c r="X31" s="52"/>
      <c r="Y31" s="52"/>
      <c r="Z31" s="52"/>
    </row>
    <row r="32" spans="1:27" s="7" customFormat="1" ht="11.25" hidden="1" customHeight="1" x14ac:dyDescent="0.2">
      <c r="A32" s="52"/>
      <c r="B32" s="104" t="s">
        <v>51</v>
      </c>
      <c r="C32" s="104" t="s">
        <v>52</v>
      </c>
      <c r="D32" s="72"/>
      <c r="E32" s="52"/>
      <c r="F32" s="52"/>
      <c r="G32" s="99"/>
      <c r="H32" s="53"/>
      <c r="I32" s="53"/>
      <c r="J32" s="52"/>
      <c r="K32" s="53"/>
      <c r="L32" s="52"/>
      <c r="M32" s="53"/>
      <c r="N32" s="52"/>
      <c r="O32" s="53"/>
      <c r="P32" s="52"/>
      <c r="Q32" s="53"/>
      <c r="R32" s="52"/>
      <c r="S32" s="52"/>
      <c r="T32" s="52"/>
      <c r="U32" s="53"/>
      <c r="V32" s="52"/>
      <c r="W32" s="52"/>
      <c r="X32" s="52"/>
      <c r="Y32" s="52"/>
      <c r="Z32" s="52"/>
    </row>
    <row r="33" spans="1:27" s="7" customFormat="1" ht="11.25" hidden="1" customHeight="1" x14ac:dyDescent="0.2">
      <c r="A33" s="52"/>
      <c r="B33" s="105">
        <v>35</v>
      </c>
      <c r="C33" s="106">
        <v>10</v>
      </c>
      <c r="D33" s="72"/>
      <c r="E33" s="52"/>
      <c r="F33" s="52"/>
      <c r="G33" s="99"/>
      <c r="H33" s="53"/>
      <c r="I33" s="53"/>
      <c r="J33" s="52"/>
      <c r="K33" s="53"/>
      <c r="L33" s="52"/>
      <c r="M33" s="53"/>
      <c r="N33" s="52"/>
      <c r="O33" s="53"/>
      <c r="P33" s="52"/>
      <c r="Q33" s="53"/>
      <c r="R33" s="52"/>
      <c r="S33" s="52"/>
      <c r="T33" s="52"/>
      <c r="U33" s="53"/>
      <c r="V33" s="52"/>
      <c r="W33" s="52"/>
      <c r="X33" s="52"/>
      <c r="Y33" s="52"/>
      <c r="Z33" s="52"/>
    </row>
    <row r="34" spans="1:27" s="7" customFormat="1" ht="11.25" hidden="1" customHeight="1" x14ac:dyDescent="0.2">
      <c r="A34" s="52"/>
      <c r="B34" s="52"/>
      <c r="C34" s="52"/>
      <c r="D34" s="72"/>
      <c r="E34" s="53"/>
      <c r="F34" s="71"/>
      <c r="G34" s="53"/>
      <c r="H34" s="53"/>
      <c r="I34" s="53"/>
      <c r="J34" s="52"/>
      <c r="K34" s="53"/>
      <c r="L34" s="52"/>
      <c r="M34" s="53"/>
      <c r="N34" s="52"/>
      <c r="O34" s="53"/>
      <c r="P34" s="52"/>
      <c r="Q34" s="53"/>
      <c r="R34" s="52"/>
      <c r="S34" s="52"/>
      <c r="T34" s="52"/>
      <c r="U34" s="53"/>
      <c r="V34" s="52"/>
      <c r="W34" s="52"/>
      <c r="X34" s="52"/>
      <c r="Y34" s="52"/>
      <c r="Z34" s="52"/>
    </row>
    <row r="35" spans="1:27" s="7" customFormat="1" ht="11.25" hidden="1" x14ac:dyDescent="0.2">
      <c r="A35" s="52"/>
      <c r="B35" s="52"/>
      <c r="C35" s="52"/>
      <c r="D35" s="52"/>
      <c r="E35" s="53"/>
      <c r="F35" s="51"/>
      <c r="G35" s="53"/>
      <c r="H35" s="53"/>
      <c r="I35" s="53"/>
      <c r="J35" s="52"/>
      <c r="K35" s="53"/>
      <c r="L35" s="52"/>
      <c r="M35" s="53"/>
      <c r="N35" s="52"/>
      <c r="O35" s="53"/>
      <c r="P35" s="52"/>
      <c r="Q35" s="53"/>
      <c r="R35" s="52"/>
      <c r="S35" s="52"/>
      <c r="T35" s="52"/>
      <c r="U35" s="53"/>
      <c r="V35" s="52"/>
      <c r="W35" s="52"/>
      <c r="X35" s="52"/>
      <c r="Y35" s="52"/>
      <c r="Z35" s="52"/>
    </row>
    <row r="36" spans="1:27" s="3" customFormat="1" hidden="1" x14ac:dyDescent="0.25">
      <c r="A36" s="107"/>
      <c r="B36" s="108"/>
      <c r="C36" s="108"/>
      <c r="D36" s="109"/>
      <c r="E36" s="110"/>
      <c r="F36" s="111"/>
      <c r="G36" s="112"/>
      <c r="H36" s="113"/>
      <c r="I36" s="113"/>
      <c r="J36" s="107"/>
      <c r="K36" s="113"/>
      <c r="L36" s="107"/>
      <c r="M36" s="113"/>
      <c r="N36" s="107"/>
      <c r="O36" s="113"/>
      <c r="P36" s="107"/>
      <c r="Q36" s="113"/>
      <c r="R36" s="107"/>
      <c r="S36" s="107"/>
      <c r="T36" s="107"/>
      <c r="U36" s="113"/>
      <c r="V36" s="107"/>
      <c r="W36" s="107"/>
      <c r="X36" s="107"/>
      <c r="Y36" s="107"/>
      <c r="Z36" s="48"/>
    </row>
    <row r="37" spans="1:27" hidden="1" x14ac:dyDescent="0.25">
      <c r="A37" s="47"/>
      <c r="B37" s="47" t="s">
        <v>96</v>
      </c>
      <c r="C37" s="48"/>
      <c r="D37" s="47"/>
      <c r="E37" s="114"/>
      <c r="F37" s="47"/>
      <c r="G37" s="49"/>
      <c r="H37" s="50"/>
      <c r="I37" s="49"/>
      <c r="J37" s="47"/>
      <c r="K37" s="49"/>
      <c r="L37" s="47"/>
      <c r="M37" s="49"/>
      <c r="N37" s="47"/>
      <c r="O37" s="49"/>
      <c r="P37" s="47"/>
      <c r="Q37" s="49"/>
      <c r="R37" s="47"/>
      <c r="S37" s="48"/>
      <c r="T37" s="47"/>
      <c r="U37" s="49"/>
      <c r="V37" s="47" t="s">
        <v>97</v>
      </c>
      <c r="W37" s="48"/>
      <c r="X37" s="115">
        <f>E39+G39+I39+K39+M39+O39+Q39+S39+U39+W39</f>
        <v>1</v>
      </c>
      <c r="Y37" s="47"/>
      <c r="Z37" s="47"/>
    </row>
    <row r="38" spans="1:27" hidden="1" x14ac:dyDescent="0.25">
      <c r="A38" s="47"/>
      <c r="B38" s="116"/>
      <c r="C38" s="117"/>
      <c r="D38" s="118"/>
      <c r="E38" s="119"/>
      <c r="F38" s="118"/>
      <c r="G38" s="119"/>
      <c r="H38" s="120"/>
      <c r="I38" s="119"/>
      <c r="J38" s="118"/>
      <c r="K38" s="119"/>
      <c r="L38" s="119"/>
      <c r="M38" s="119"/>
      <c r="N38" s="118"/>
      <c r="O38" s="119"/>
      <c r="P38" s="118"/>
      <c r="Q38" s="119"/>
      <c r="R38" s="118"/>
      <c r="S38" s="121"/>
      <c r="T38" s="118"/>
      <c r="U38" s="119"/>
      <c r="V38" s="118"/>
      <c r="W38" s="121"/>
      <c r="X38" s="122"/>
      <c r="Y38" s="123"/>
      <c r="Z38" s="47"/>
      <c r="AA38" s="2"/>
    </row>
    <row r="39" spans="1:27" hidden="1" x14ac:dyDescent="0.25">
      <c r="A39" s="47"/>
      <c r="B39" s="124">
        <f>C39/B33</f>
        <v>5.7142857142857143E-3</v>
      </c>
      <c r="C39" s="125">
        <f>B3</f>
        <v>0.2</v>
      </c>
      <c r="D39" s="126">
        <f>E39/C33</f>
        <v>1.6976000000000002E-2</v>
      </c>
      <c r="E39" s="127">
        <f>C5</f>
        <v>0.16976000000000002</v>
      </c>
      <c r="F39" s="126">
        <f>G39/C33</f>
        <v>1.0288E-2</v>
      </c>
      <c r="G39" s="127">
        <f>C6</f>
        <v>0.10288</v>
      </c>
      <c r="H39" s="126">
        <f>I39/C33</f>
        <v>1.6976000000000002E-2</v>
      </c>
      <c r="I39" s="127">
        <f>C7</f>
        <v>0.16976000000000002</v>
      </c>
      <c r="J39" s="126">
        <f>K39/C33</f>
        <v>8.0000000000000019E-3</v>
      </c>
      <c r="K39" s="127">
        <f>C8</f>
        <v>8.0000000000000016E-2</v>
      </c>
      <c r="L39" s="128">
        <f>M39/C33</f>
        <v>8.9760000000000013E-3</v>
      </c>
      <c r="M39" s="127">
        <f>C9</f>
        <v>8.9760000000000006E-2</v>
      </c>
      <c r="N39" s="126">
        <f>O39/C33</f>
        <v>4.0800000000000003E-3</v>
      </c>
      <c r="O39" s="127">
        <f>C10</f>
        <v>4.0800000000000003E-2</v>
      </c>
      <c r="P39" s="126">
        <f>Q39/C33</f>
        <v>6.2960000000000004E-3</v>
      </c>
      <c r="Q39" s="127">
        <f>C11</f>
        <v>6.2960000000000002E-2</v>
      </c>
      <c r="R39" s="126">
        <f>S39/C33</f>
        <v>2.1120000000000002E-3</v>
      </c>
      <c r="S39" s="127">
        <f>C12</f>
        <v>2.112E-2</v>
      </c>
      <c r="T39" s="126">
        <f>U39/C33</f>
        <v>6.2960000000000004E-3</v>
      </c>
      <c r="U39" s="127">
        <f>C13</f>
        <v>6.2960000000000002E-2</v>
      </c>
      <c r="V39" s="126">
        <f>W39/C33</f>
        <v>0.02</v>
      </c>
      <c r="W39" s="127">
        <f>C16</f>
        <v>0.2</v>
      </c>
      <c r="X39" s="129"/>
      <c r="Y39" s="130"/>
      <c r="Z39" s="47"/>
      <c r="AA39" s="2"/>
    </row>
    <row r="40" spans="1:27" s="3" customFormat="1" hidden="1" x14ac:dyDescent="0.25">
      <c r="A40" s="48"/>
      <c r="B40" s="131" t="s">
        <v>8</v>
      </c>
      <c r="C40" s="131" t="s">
        <v>10</v>
      </c>
      <c r="D40" s="132" t="s">
        <v>0</v>
      </c>
      <c r="E40" s="133" t="s">
        <v>10</v>
      </c>
      <c r="F40" s="132" t="s">
        <v>4</v>
      </c>
      <c r="G40" s="133" t="s">
        <v>10</v>
      </c>
      <c r="H40" s="133" t="s">
        <v>17</v>
      </c>
      <c r="I40" s="133" t="s">
        <v>10</v>
      </c>
      <c r="J40" s="132" t="s">
        <v>5</v>
      </c>
      <c r="K40" s="133" t="s">
        <v>10</v>
      </c>
      <c r="L40" s="133" t="s">
        <v>4</v>
      </c>
      <c r="M40" s="133" t="s">
        <v>10</v>
      </c>
      <c r="N40" s="132" t="s">
        <v>6</v>
      </c>
      <c r="O40" s="133" t="s">
        <v>10</v>
      </c>
      <c r="P40" s="132" t="s">
        <v>7</v>
      </c>
      <c r="Q40" s="133" t="s">
        <v>10</v>
      </c>
      <c r="R40" s="132" t="s">
        <v>9</v>
      </c>
      <c r="S40" s="132" t="s">
        <v>10</v>
      </c>
      <c r="T40" s="132" t="s">
        <v>39</v>
      </c>
      <c r="U40" s="133" t="s">
        <v>10</v>
      </c>
      <c r="V40" s="132" t="s">
        <v>38</v>
      </c>
      <c r="W40" s="132" t="s">
        <v>10</v>
      </c>
      <c r="X40" s="134" t="s">
        <v>40</v>
      </c>
      <c r="Y40" s="134" t="s">
        <v>95</v>
      </c>
      <c r="Z40" s="48"/>
    </row>
    <row r="41" spans="1:27" s="1" customFormat="1" hidden="1" x14ac:dyDescent="0.25">
      <c r="A41" s="135">
        <v>0</v>
      </c>
      <c r="B41" s="136"/>
      <c r="C41" s="137"/>
      <c r="D41" s="136"/>
      <c r="E41" s="138"/>
      <c r="F41" s="136"/>
      <c r="G41" s="138"/>
      <c r="H41" s="138"/>
      <c r="I41" s="138"/>
      <c r="J41" s="136"/>
      <c r="K41" s="138"/>
      <c r="L41" s="138"/>
      <c r="M41" s="138"/>
      <c r="N41" s="136"/>
      <c r="O41" s="138"/>
      <c r="P41" s="136"/>
      <c r="Q41" s="138"/>
      <c r="R41" s="136"/>
      <c r="S41" s="136"/>
      <c r="T41" s="136"/>
      <c r="U41" s="138"/>
      <c r="V41" s="136"/>
      <c r="W41" s="136"/>
      <c r="X41" s="136"/>
      <c r="Y41" s="136"/>
      <c r="Z41" s="136"/>
    </row>
    <row r="42" spans="1:27" hidden="1" x14ac:dyDescent="0.25">
      <c r="A42" s="47">
        <v>1</v>
      </c>
      <c r="B42" s="47">
        <v>2014</v>
      </c>
      <c r="C42" s="139">
        <f t="shared" ref="C42:C76" si="1">$B$39*($B$33-A41)</f>
        <v>0.2</v>
      </c>
      <c r="D42" s="140" t="s">
        <v>1</v>
      </c>
      <c r="E42" s="141">
        <f>$D$39*E4</f>
        <v>0.16976000000000002</v>
      </c>
      <c r="F42" s="47" t="s">
        <v>44</v>
      </c>
      <c r="G42" s="141">
        <f>G4*$F$39</f>
        <v>0.10288</v>
      </c>
      <c r="H42" s="50" t="s">
        <v>113</v>
      </c>
      <c r="I42" s="141">
        <f>I4*$H$39</f>
        <v>0.16976000000000002</v>
      </c>
      <c r="J42" s="64" t="s">
        <v>18</v>
      </c>
      <c r="K42" s="141">
        <f>J39*K4</f>
        <v>8.0000000000000016E-2</v>
      </c>
      <c r="L42" s="47" t="s">
        <v>20</v>
      </c>
      <c r="M42" s="141">
        <f>M4*$L$39</f>
        <v>8.9760000000000006E-2</v>
      </c>
      <c r="N42" s="47" t="s">
        <v>124</v>
      </c>
      <c r="O42" s="141">
        <f>O4*N39</f>
        <v>4.0800000000000003E-2</v>
      </c>
      <c r="P42" s="47" t="s">
        <v>126</v>
      </c>
      <c r="Q42" s="141">
        <f>Q4*$P$39</f>
        <v>6.2960000000000002E-2</v>
      </c>
      <c r="R42" s="47" t="s">
        <v>15</v>
      </c>
      <c r="S42" s="141">
        <f>S4*$R$39</f>
        <v>2.112E-2</v>
      </c>
      <c r="T42" s="47" t="s">
        <v>133</v>
      </c>
      <c r="U42" s="141">
        <f>U4*$T$39</f>
        <v>6.2960000000000002E-2</v>
      </c>
      <c r="V42" s="47" t="s">
        <v>41</v>
      </c>
      <c r="W42" s="142">
        <f>W4*$V$39</f>
        <v>0.2</v>
      </c>
      <c r="X42" s="143" t="str">
        <f t="shared" ref="X42:Y48" si="2">B22</f>
        <v>Mucho mejor</v>
      </c>
      <c r="Y42" s="144">
        <f t="shared" si="2"/>
        <v>1.3</v>
      </c>
      <c r="Z42" s="47"/>
      <c r="AA42" s="2"/>
    </row>
    <row r="43" spans="1:27" hidden="1" x14ac:dyDescent="0.25">
      <c r="A43" s="47">
        <v>2</v>
      </c>
      <c r="B43" s="47">
        <v>2013</v>
      </c>
      <c r="C43" s="139">
        <f t="shared" si="1"/>
        <v>0.19428571428571428</v>
      </c>
      <c r="D43" s="47"/>
      <c r="E43" s="141"/>
      <c r="F43" s="47" t="s">
        <v>42</v>
      </c>
      <c r="G43" s="141">
        <f t="shared" ref="G43:G48" si="3">G5*$F$39</f>
        <v>9.2592000000000008E-2</v>
      </c>
      <c r="H43" s="47" t="s">
        <v>114</v>
      </c>
      <c r="I43" s="141">
        <f t="shared" ref="I43:I45" si="4">I5*$H$39</f>
        <v>0.152784</v>
      </c>
      <c r="J43" s="47"/>
      <c r="K43" s="141"/>
      <c r="L43" s="47" t="s">
        <v>117</v>
      </c>
      <c r="M43" s="141">
        <f t="shared" ref="M43:M63" si="5">M5*$L$39</f>
        <v>8.5272000000000014E-2</v>
      </c>
      <c r="N43" s="47" t="s">
        <v>145</v>
      </c>
      <c r="O43" s="141">
        <v>0</v>
      </c>
      <c r="P43" s="47" t="s">
        <v>125</v>
      </c>
      <c r="Q43" s="141">
        <f t="shared" ref="Q43:Q49" si="6">Q5*$P$39</f>
        <v>5.0368000000000003E-2</v>
      </c>
      <c r="R43" s="47" t="s">
        <v>14</v>
      </c>
      <c r="S43" s="141">
        <f t="shared" ref="S43:S44" si="7">S5*$R$39</f>
        <v>1.6896000000000001E-2</v>
      </c>
      <c r="T43" s="47" t="s">
        <v>134</v>
      </c>
      <c r="U43" s="141">
        <f t="shared" ref="U43:U46" si="8">U5*$T$39</f>
        <v>5.6664000000000006E-2</v>
      </c>
      <c r="V43" s="47" t="s">
        <v>145</v>
      </c>
      <c r="W43" s="141">
        <v>0</v>
      </c>
      <c r="X43" s="143" t="str">
        <f t="shared" si="2"/>
        <v>Mejor</v>
      </c>
      <c r="Y43" s="144">
        <f t="shared" si="2"/>
        <v>1.2</v>
      </c>
      <c r="Z43" s="47"/>
      <c r="AA43" s="2"/>
    </row>
    <row r="44" spans="1:27" hidden="1" x14ac:dyDescent="0.25">
      <c r="A44" s="47">
        <v>3</v>
      </c>
      <c r="B44" s="47">
        <v>2012</v>
      </c>
      <c r="C44" s="139">
        <f t="shared" si="1"/>
        <v>0.18857142857142858</v>
      </c>
      <c r="D44" s="47"/>
      <c r="E44" s="141"/>
      <c r="F44" s="47" t="s">
        <v>43</v>
      </c>
      <c r="G44" s="141">
        <f t="shared" si="3"/>
        <v>8.7447999999999998E-2</v>
      </c>
      <c r="H44" s="50" t="s">
        <v>115</v>
      </c>
      <c r="I44" s="141">
        <f t="shared" si="4"/>
        <v>0.13580800000000001</v>
      </c>
      <c r="J44" s="47"/>
      <c r="K44" s="141"/>
      <c r="L44" s="47" t="s">
        <v>118</v>
      </c>
      <c r="M44" s="141">
        <f t="shared" si="5"/>
        <v>8.0784000000000009E-2</v>
      </c>
      <c r="N44" s="47"/>
      <c r="O44" s="49"/>
      <c r="P44" s="145" t="s">
        <v>131</v>
      </c>
      <c r="Q44" s="141">
        <f t="shared" si="6"/>
        <v>4.4072E-2</v>
      </c>
      <c r="R44" s="47" t="s">
        <v>13</v>
      </c>
      <c r="S44" s="141">
        <f t="shared" si="7"/>
        <v>1.2672000000000001E-2</v>
      </c>
      <c r="T44" s="47" t="s">
        <v>135</v>
      </c>
      <c r="U44" s="141">
        <f t="shared" si="8"/>
        <v>4.4072E-2</v>
      </c>
      <c r="V44" s="47"/>
      <c r="W44" s="48"/>
      <c r="X44" s="143" t="str">
        <f t="shared" si="2"/>
        <v>Poco mejor</v>
      </c>
      <c r="Y44" s="144">
        <f t="shared" si="2"/>
        <v>1.1000000000000001</v>
      </c>
      <c r="Z44" s="47"/>
      <c r="AA44" s="2"/>
    </row>
    <row r="45" spans="1:27" hidden="1" x14ac:dyDescent="0.25">
      <c r="A45" s="47">
        <v>4</v>
      </c>
      <c r="B45" s="47">
        <v>2011</v>
      </c>
      <c r="C45" s="139">
        <f t="shared" si="1"/>
        <v>0.18285714285714286</v>
      </c>
      <c r="D45" s="64"/>
      <c r="E45" s="141"/>
      <c r="F45" s="47" t="s">
        <v>141</v>
      </c>
      <c r="G45" s="141">
        <f t="shared" si="3"/>
        <v>8.2304000000000002E-2</v>
      </c>
      <c r="H45" s="50" t="s">
        <v>116</v>
      </c>
      <c r="I45" s="141">
        <f t="shared" si="4"/>
        <v>0.11883200000000001</v>
      </c>
      <c r="J45" s="47"/>
      <c r="K45" s="141"/>
      <c r="L45" s="145" t="s">
        <v>119</v>
      </c>
      <c r="M45" s="141">
        <f t="shared" si="5"/>
        <v>6.7320000000000005E-2</v>
      </c>
      <c r="N45" s="47"/>
      <c r="O45" s="49"/>
      <c r="P45" s="145" t="s">
        <v>132</v>
      </c>
      <c r="Q45" s="141">
        <f t="shared" si="6"/>
        <v>4.0924000000000002E-2</v>
      </c>
      <c r="R45" s="145" t="s">
        <v>145</v>
      </c>
      <c r="S45" s="141">
        <v>0</v>
      </c>
      <c r="T45" s="145" t="s">
        <v>136</v>
      </c>
      <c r="U45" s="141">
        <f t="shared" si="8"/>
        <v>3.7776000000000004E-2</v>
      </c>
      <c r="V45" s="47"/>
      <c r="W45" s="48"/>
      <c r="X45" s="143" t="str">
        <f t="shared" si="2"/>
        <v>Igual</v>
      </c>
      <c r="Y45" s="144">
        <f t="shared" si="2"/>
        <v>1</v>
      </c>
      <c r="Z45" s="47"/>
      <c r="AA45" s="2"/>
    </row>
    <row r="46" spans="1:27" hidden="1" x14ac:dyDescent="0.25">
      <c r="A46" s="47">
        <v>5</v>
      </c>
      <c r="B46" s="47">
        <v>2010</v>
      </c>
      <c r="C46" s="139">
        <f t="shared" si="1"/>
        <v>0.17714285714285713</v>
      </c>
      <c r="D46" s="47"/>
      <c r="E46" s="141"/>
      <c r="F46" s="47" t="s">
        <v>142</v>
      </c>
      <c r="G46" s="141">
        <f t="shared" si="3"/>
        <v>7.7160000000000006E-2</v>
      </c>
      <c r="H46" s="50" t="s">
        <v>145</v>
      </c>
      <c r="I46" s="141">
        <v>0</v>
      </c>
      <c r="J46" s="47"/>
      <c r="K46" s="141"/>
      <c r="L46" s="145" t="s">
        <v>120</v>
      </c>
      <c r="M46" s="141">
        <f t="shared" si="5"/>
        <v>6.2832000000000013E-2</v>
      </c>
      <c r="N46" s="47"/>
      <c r="O46" s="49"/>
      <c r="P46" s="47" t="s">
        <v>127</v>
      </c>
      <c r="Q46" s="141">
        <f t="shared" si="6"/>
        <v>3.7776000000000004E-2</v>
      </c>
      <c r="R46" s="47"/>
      <c r="S46" s="48"/>
      <c r="T46" s="145" t="s">
        <v>137</v>
      </c>
      <c r="U46" s="141">
        <f t="shared" si="8"/>
        <v>3.1480000000000001E-2</v>
      </c>
      <c r="V46" s="47"/>
      <c r="W46" s="48"/>
      <c r="X46" s="143" t="str">
        <f t="shared" si="2"/>
        <v>Poco peor</v>
      </c>
      <c r="Y46" s="144">
        <f t="shared" si="2"/>
        <v>0.9</v>
      </c>
      <c r="Z46" s="47"/>
      <c r="AA46" s="2"/>
    </row>
    <row r="47" spans="1:27" hidden="1" x14ac:dyDescent="0.25">
      <c r="A47" s="47">
        <v>6</v>
      </c>
      <c r="B47" s="47">
        <v>2009</v>
      </c>
      <c r="C47" s="139">
        <f t="shared" si="1"/>
        <v>0.17142857142857143</v>
      </c>
      <c r="D47" s="47"/>
      <c r="E47" s="141"/>
      <c r="F47" s="47" t="s">
        <v>143</v>
      </c>
      <c r="G47" s="141">
        <f t="shared" si="3"/>
        <v>7.2015999999999997E-2</v>
      </c>
      <c r="H47" s="50"/>
      <c r="I47" s="49"/>
      <c r="J47" s="47"/>
      <c r="K47" s="141"/>
      <c r="L47" s="145" t="s">
        <v>45</v>
      </c>
      <c r="M47" s="141">
        <f t="shared" si="5"/>
        <v>5.8344000000000007E-2</v>
      </c>
      <c r="N47" s="47"/>
      <c r="O47" s="49"/>
      <c r="P47" s="47" t="s">
        <v>128</v>
      </c>
      <c r="Q47" s="141">
        <f t="shared" si="6"/>
        <v>3.1480000000000001E-2</v>
      </c>
      <c r="R47" s="47"/>
      <c r="S47" s="48"/>
      <c r="T47" s="145" t="s">
        <v>145</v>
      </c>
      <c r="U47" s="141">
        <v>0</v>
      </c>
      <c r="V47" s="47"/>
      <c r="W47" s="48"/>
      <c r="X47" s="143" t="str">
        <f t="shared" si="2"/>
        <v>Peor</v>
      </c>
      <c r="Y47" s="144">
        <f t="shared" si="2"/>
        <v>0.8</v>
      </c>
      <c r="Z47" s="47"/>
      <c r="AA47" s="2"/>
    </row>
    <row r="48" spans="1:27" hidden="1" x14ac:dyDescent="0.25">
      <c r="A48" s="47">
        <v>7</v>
      </c>
      <c r="B48" s="47">
        <v>2008</v>
      </c>
      <c r="C48" s="139">
        <f t="shared" si="1"/>
        <v>0.1657142857142857</v>
      </c>
      <c r="D48" s="47"/>
      <c r="E48" s="141"/>
      <c r="F48" s="47" t="s">
        <v>144</v>
      </c>
      <c r="G48" s="141">
        <f t="shared" si="3"/>
        <v>6.6872000000000001E-2</v>
      </c>
      <c r="H48" s="50"/>
      <c r="I48" s="49"/>
      <c r="J48" s="47"/>
      <c r="K48" s="141"/>
      <c r="L48" s="47" t="s">
        <v>46</v>
      </c>
      <c r="M48" s="141">
        <f t="shared" si="5"/>
        <v>5.3856000000000008E-2</v>
      </c>
      <c r="N48" s="47"/>
      <c r="O48" s="49"/>
      <c r="P48" s="47" t="s">
        <v>129</v>
      </c>
      <c r="Q48" s="141">
        <f t="shared" si="6"/>
        <v>2.8332000000000003E-2</v>
      </c>
      <c r="R48" s="47"/>
      <c r="S48" s="48"/>
      <c r="T48" s="47"/>
      <c r="U48" s="49"/>
      <c r="V48" s="47"/>
      <c r="W48" s="48"/>
      <c r="X48" s="143" t="str">
        <f t="shared" si="2"/>
        <v>Mucho peor</v>
      </c>
      <c r="Y48" s="144">
        <f t="shared" si="2"/>
        <v>0.7</v>
      </c>
      <c r="Z48" s="47"/>
      <c r="AA48" s="2"/>
    </row>
    <row r="49" spans="1:27" hidden="1" x14ac:dyDescent="0.25">
      <c r="A49" s="47">
        <v>8</v>
      </c>
      <c r="B49" s="47">
        <v>2007</v>
      </c>
      <c r="C49" s="139">
        <f t="shared" si="1"/>
        <v>0.16</v>
      </c>
      <c r="D49" s="47"/>
      <c r="E49" s="49"/>
      <c r="F49" s="47"/>
      <c r="G49" s="49"/>
      <c r="H49" s="50"/>
      <c r="I49" s="49"/>
      <c r="J49" s="47"/>
      <c r="K49" s="141"/>
      <c r="L49" s="47" t="s">
        <v>49</v>
      </c>
      <c r="M49" s="141">
        <f t="shared" si="5"/>
        <v>4.9368000000000009E-2</v>
      </c>
      <c r="N49" s="47"/>
      <c r="O49" s="49"/>
      <c r="P49" s="47" t="s">
        <v>130</v>
      </c>
      <c r="Q49" s="141">
        <f t="shared" si="6"/>
        <v>2.2036E-2</v>
      </c>
      <c r="R49" s="47"/>
      <c r="S49" s="48"/>
      <c r="T49" s="47"/>
      <c r="U49" s="49"/>
      <c r="V49" s="47"/>
      <c r="W49" s="48"/>
      <c r="X49" s="47"/>
      <c r="Y49" s="48"/>
      <c r="Z49" s="47"/>
      <c r="AA49" s="2"/>
    </row>
    <row r="50" spans="1:27" hidden="1" x14ac:dyDescent="0.25">
      <c r="A50" s="47">
        <v>9</v>
      </c>
      <c r="B50" s="47">
        <v>2006</v>
      </c>
      <c r="C50" s="139">
        <f t="shared" si="1"/>
        <v>0.15428571428571428</v>
      </c>
      <c r="D50" s="64" t="s">
        <v>16</v>
      </c>
      <c r="E50" s="141">
        <f>$D$39*E11</f>
        <v>0.152784</v>
      </c>
      <c r="F50" s="47" t="s">
        <v>37</v>
      </c>
      <c r="G50" s="141">
        <f>G11*$F$39</f>
        <v>0.10288</v>
      </c>
      <c r="H50" s="47"/>
      <c r="I50" s="49"/>
      <c r="J50" s="47"/>
      <c r="K50" s="141"/>
      <c r="L50" s="47" t="s">
        <v>47</v>
      </c>
      <c r="M50" s="141">
        <f t="shared" si="5"/>
        <v>4.4880000000000003E-2</v>
      </c>
      <c r="N50" s="47"/>
      <c r="O50" s="49"/>
      <c r="P50" s="47" t="s">
        <v>145</v>
      </c>
      <c r="Q50" s="141">
        <v>0</v>
      </c>
      <c r="R50" s="47"/>
      <c r="S50" s="48"/>
      <c r="T50" s="47"/>
      <c r="U50" s="49"/>
      <c r="V50" s="47"/>
      <c r="W50" s="48"/>
      <c r="X50" s="47"/>
      <c r="Y50" s="48"/>
      <c r="Z50" s="47"/>
      <c r="AA50" s="2"/>
    </row>
    <row r="51" spans="1:27" hidden="1" x14ac:dyDescent="0.25">
      <c r="A51" s="47">
        <v>10</v>
      </c>
      <c r="B51" s="47">
        <v>2005</v>
      </c>
      <c r="C51" s="139">
        <f t="shared" si="1"/>
        <v>0.14857142857142858</v>
      </c>
      <c r="D51" s="47"/>
      <c r="E51" s="141"/>
      <c r="F51" s="47" t="s">
        <v>36</v>
      </c>
      <c r="G51" s="141">
        <f>G12*$F$39</f>
        <v>9.2592000000000008E-2</v>
      </c>
      <c r="H51" s="47"/>
      <c r="I51" s="49"/>
      <c r="J51" s="47"/>
      <c r="K51" s="141"/>
      <c r="L51" s="47" t="s">
        <v>48</v>
      </c>
      <c r="M51" s="141">
        <f t="shared" si="5"/>
        <v>4.0392000000000004E-2</v>
      </c>
      <c r="N51" s="47"/>
      <c r="O51" s="49"/>
      <c r="P51" s="47"/>
      <c r="Q51" s="49"/>
      <c r="R51" s="47"/>
      <c r="S51" s="48"/>
      <c r="T51" s="47"/>
      <c r="U51" s="49"/>
      <c r="V51" s="47"/>
      <c r="W51" s="48"/>
      <c r="X51" s="47" t="s">
        <v>240</v>
      </c>
      <c r="Y51" s="47">
        <f>Y22</f>
        <v>10</v>
      </c>
      <c r="Z51" s="47"/>
    </row>
    <row r="52" spans="1:27" hidden="1" x14ac:dyDescent="0.25">
      <c r="A52" s="47">
        <v>11</v>
      </c>
      <c r="B52" s="47">
        <v>2004</v>
      </c>
      <c r="C52" s="139">
        <f t="shared" si="1"/>
        <v>0.14285714285714285</v>
      </c>
      <c r="D52" s="140"/>
      <c r="E52" s="141"/>
      <c r="F52" s="47" t="s">
        <v>35</v>
      </c>
      <c r="G52" s="141">
        <f>G13*$F$39</f>
        <v>8.2304000000000002E-2</v>
      </c>
      <c r="H52" s="47"/>
      <c r="I52" s="49"/>
      <c r="J52" s="47"/>
      <c r="K52" s="141"/>
      <c r="L52" s="47" t="s">
        <v>121</v>
      </c>
      <c r="M52" s="141">
        <f t="shared" si="5"/>
        <v>3.5904000000000005E-2</v>
      </c>
      <c r="N52" s="47"/>
      <c r="O52" s="49"/>
      <c r="P52" s="47"/>
      <c r="Q52" s="49"/>
      <c r="R52" s="47"/>
      <c r="S52" s="48"/>
      <c r="T52" s="47"/>
      <c r="U52" s="49"/>
      <c r="V52" s="47"/>
      <c r="W52" s="48"/>
      <c r="X52" s="47" t="s">
        <v>241</v>
      </c>
      <c r="Y52" s="47">
        <f t="shared" ref="Y52:Y57" si="9">Y23</f>
        <v>9.5</v>
      </c>
      <c r="Z52" s="47"/>
    </row>
    <row r="53" spans="1:27" hidden="1" x14ac:dyDescent="0.25">
      <c r="A53" s="47">
        <v>12</v>
      </c>
      <c r="B53" s="47">
        <v>2003</v>
      </c>
      <c r="C53" s="139">
        <f t="shared" si="1"/>
        <v>0.13714285714285715</v>
      </c>
      <c r="D53" s="47"/>
      <c r="E53" s="49"/>
      <c r="F53" s="47"/>
      <c r="G53" s="49"/>
      <c r="H53" s="50"/>
      <c r="I53" s="49"/>
      <c r="J53" s="64" t="s">
        <v>11</v>
      </c>
      <c r="K53" s="141">
        <f>J39*K5</f>
        <v>7.2000000000000022E-2</v>
      </c>
      <c r="L53" s="47" t="s">
        <v>31</v>
      </c>
      <c r="M53" s="141">
        <f t="shared" si="5"/>
        <v>8.9760000000000006E-2</v>
      </c>
      <c r="N53" s="47"/>
      <c r="O53" s="49"/>
      <c r="P53" s="47"/>
      <c r="Q53" s="49"/>
      <c r="R53" s="47"/>
      <c r="S53" s="48"/>
      <c r="T53" s="47"/>
      <c r="U53" s="49"/>
      <c r="V53" s="47"/>
      <c r="W53" s="48"/>
      <c r="X53" s="47" t="s">
        <v>242</v>
      </c>
      <c r="Y53" s="47">
        <f t="shared" si="9"/>
        <v>9</v>
      </c>
      <c r="Z53" s="47"/>
    </row>
    <row r="54" spans="1:27" hidden="1" x14ac:dyDescent="0.25">
      <c r="A54" s="47">
        <v>13</v>
      </c>
      <c r="B54" s="47">
        <v>2002</v>
      </c>
      <c r="C54" s="139">
        <f t="shared" si="1"/>
        <v>0.13142857142857142</v>
      </c>
      <c r="D54" s="64" t="s">
        <v>3</v>
      </c>
      <c r="E54" s="141">
        <f>$D$39*E14</f>
        <v>0.13580800000000001</v>
      </c>
      <c r="F54" s="146" t="s">
        <v>34</v>
      </c>
      <c r="G54" s="141">
        <f>G14*$F$39</f>
        <v>0.10288</v>
      </c>
      <c r="H54" s="50"/>
      <c r="I54" s="49"/>
      <c r="J54" s="47"/>
      <c r="K54" s="141"/>
      <c r="L54" s="47" t="s">
        <v>21</v>
      </c>
      <c r="M54" s="141">
        <f t="shared" si="5"/>
        <v>8.5272000000000014E-2</v>
      </c>
      <c r="N54" s="47"/>
      <c r="O54" s="49"/>
      <c r="P54" s="47"/>
      <c r="Q54" s="49"/>
      <c r="R54" s="47"/>
      <c r="S54" s="48"/>
      <c r="T54" s="47"/>
      <c r="U54" s="49"/>
      <c r="V54" s="47"/>
      <c r="W54" s="48"/>
      <c r="X54" s="47" t="s">
        <v>243</v>
      </c>
      <c r="Y54" s="47">
        <f t="shared" si="9"/>
        <v>8</v>
      </c>
      <c r="Z54" s="47"/>
    </row>
    <row r="55" spans="1:27" hidden="1" x14ac:dyDescent="0.25">
      <c r="A55" s="47">
        <v>14</v>
      </c>
      <c r="B55" s="47">
        <v>2001</v>
      </c>
      <c r="C55" s="139">
        <f t="shared" si="1"/>
        <v>0.12571428571428572</v>
      </c>
      <c r="D55" s="140"/>
      <c r="E55" s="141"/>
      <c r="F55" s="146">
        <v>9400</v>
      </c>
      <c r="G55" s="141">
        <f>G15*$F$39</f>
        <v>9.2592000000000008E-2</v>
      </c>
      <c r="H55" s="50"/>
      <c r="I55" s="49"/>
      <c r="J55" s="47"/>
      <c r="K55" s="141"/>
      <c r="L55" s="47" t="s">
        <v>22</v>
      </c>
      <c r="M55" s="141">
        <f t="shared" si="5"/>
        <v>8.0784000000000009E-2</v>
      </c>
      <c r="N55" s="47"/>
      <c r="O55" s="49"/>
      <c r="P55" s="47"/>
      <c r="Q55" s="49"/>
      <c r="R55" s="47"/>
      <c r="S55" s="48"/>
      <c r="T55" s="47"/>
      <c r="U55" s="49"/>
      <c r="V55" s="47"/>
      <c r="W55" s="48"/>
      <c r="X55" s="47" t="s">
        <v>244</v>
      </c>
      <c r="Y55" s="47">
        <f t="shared" si="9"/>
        <v>7</v>
      </c>
      <c r="Z55" s="47"/>
    </row>
    <row r="56" spans="1:27" hidden="1" x14ac:dyDescent="0.25">
      <c r="A56" s="47">
        <v>15</v>
      </c>
      <c r="B56" s="47">
        <v>2000</v>
      </c>
      <c r="C56" s="139">
        <f t="shared" si="1"/>
        <v>0.12</v>
      </c>
      <c r="D56" s="140"/>
      <c r="E56" s="141"/>
      <c r="F56" s="146" t="s">
        <v>33</v>
      </c>
      <c r="G56" s="141">
        <f>G16*$F$39</f>
        <v>8.2304000000000002E-2</v>
      </c>
      <c r="H56" s="50"/>
      <c r="I56" s="49"/>
      <c r="J56" s="47"/>
      <c r="K56" s="141"/>
      <c r="L56" s="47" t="s">
        <v>23</v>
      </c>
      <c r="M56" s="141">
        <f t="shared" si="5"/>
        <v>7.6296000000000017E-2</v>
      </c>
      <c r="N56" s="47"/>
      <c r="O56" s="49"/>
      <c r="P56" s="47"/>
      <c r="Q56" s="49"/>
      <c r="R56" s="47"/>
      <c r="S56" s="48"/>
      <c r="T56" s="47"/>
      <c r="U56" s="49"/>
      <c r="V56" s="47"/>
      <c r="W56" s="48"/>
      <c r="X56" s="47" t="s">
        <v>245</v>
      </c>
      <c r="Y56" s="47">
        <f t="shared" si="9"/>
        <v>6</v>
      </c>
      <c r="Z56" s="47"/>
    </row>
    <row r="57" spans="1:27" hidden="1" x14ac:dyDescent="0.25">
      <c r="A57" s="47">
        <v>16</v>
      </c>
      <c r="B57" s="47">
        <v>1999</v>
      </c>
      <c r="C57" s="139">
        <f t="shared" si="1"/>
        <v>0.11428571428571428</v>
      </c>
      <c r="D57" s="140"/>
      <c r="E57" s="141"/>
      <c r="F57" s="146">
        <v>9200</v>
      </c>
      <c r="G57" s="141">
        <f>G17*$F$39</f>
        <v>7.2015999999999997E-2</v>
      </c>
      <c r="H57" s="50"/>
      <c r="I57" s="49"/>
      <c r="J57" s="47"/>
      <c r="K57" s="141"/>
      <c r="L57" s="47" t="s">
        <v>24</v>
      </c>
      <c r="M57" s="141">
        <f t="shared" si="5"/>
        <v>7.1808000000000011E-2</v>
      </c>
      <c r="N57" s="47"/>
      <c r="O57" s="49"/>
      <c r="P57" s="47"/>
      <c r="Q57" s="49"/>
      <c r="R57" s="47"/>
      <c r="S57" s="48"/>
      <c r="T57" s="47"/>
      <c r="U57" s="49"/>
      <c r="V57" s="47"/>
      <c r="W57" s="48"/>
      <c r="X57" s="47" t="s">
        <v>254</v>
      </c>
      <c r="Y57" s="47">
        <f t="shared" si="9"/>
        <v>5</v>
      </c>
      <c r="Z57" s="47"/>
    </row>
    <row r="58" spans="1:27" hidden="1" x14ac:dyDescent="0.25">
      <c r="A58" s="47">
        <v>17</v>
      </c>
      <c r="B58" s="47">
        <v>1998</v>
      </c>
      <c r="C58" s="139">
        <f t="shared" si="1"/>
        <v>0.10857142857142857</v>
      </c>
      <c r="D58" s="47"/>
      <c r="E58" s="49"/>
      <c r="F58" s="47"/>
      <c r="G58" s="49"/>
      <c r="H58" s="50"/>
      <c r="I58" s="49"/>
      <c r="J58" s="47"/>
      <c r="K58" s="141"/>
      <c r="L58" s="47" t="s">
        <v>25</v>
      </c>
      <c r="M58" s="141">
        <f t="shared" si="5"/>
        <v>6.7320000000000005E-2</v>
      </c>
      <c r="N58" s="47"/>
      <c r="O58" s="49"/>
      <c r="P58" s="47"/>
      <c r="Q58" s="49"/>
      <c r="R58" s="47"/>
      <c r="S58" s="48"/>
      <c r="T58" s="47"/>
      <c r="U58" s="49"/>
      <c r="V58" s="47"/>
      <c r="W58" s="48"/>
      <c r="X58" s="47"/>
      <c r="Y58" s="47"/>
      <c r="Z58" s="47"/>
    </row>
    <row r="59" spans="1:27" hidden="1" x14ac:dyDescent="0.25">
      <c r="A59" s="47">
        <v>18</v>
      </c>
      <c r="B59" s="47">
        <v>1997</v>
      </c>
      <c r="C59" s="139">
        <f t="shared" si="1"/>
        <v>0.10285714285714286</v>
      </c>
      <c r="D59" s="64" t="s">
        <v>2</v>
      </c>
      <c r="E59" s="141">
        <f>$D$39*E18</f>
        <v>0.11883200000000001</v>
      </c>
      <c r="F59" s="47" t="s">
        <v>29</v>
      </c>
      <c r="G59" s="141">
        <f>G18*$F$39</f>
        <v>0.10288</v>
      </c>
      <c r="H59" s="50"/>
      <c r="I59" s="49"/>
      <c r="J59" s="64" t="s">
        <v>12</v>
      </c>
      <c r="K59" s="141">
        <f>J39*K6</f>
        <v>6.4000000000000015E-2</v>
      </c>
      <c r="L59" s="47" t="s">
        <v>19</v>
      </c>
      <c r="M59" s="141">
        <f t="shared" si="5"/>
        <v>8.9760000000000006E-2</v>
      </c>
      <c r="N59" s="47"/>
      <c r="O59" s="49"/>
      <c r="P59" s="47"/>
      <c r="Q59" s="49"/>
      <c r="R59" s="47"/>
      <c r="S59" s="48"/>
      <c r="T59" s="47"/>
      <c r="U59" s="49"/>
      <c r="V59" s="47"/>
      <c r="W59" s="48"/>
      <c r="X59" s="47"/>
      <c r="Y59" s="47"/>
      <c r="Z59" s="47"/>
    </row>
    <row r="60" spans="1:27" hidden="1" x14ac:dyDescent="0.25">
      <c r="A60" s="47">
        <v>19</v>
      </c>
      <c r="B60" s="47">
        <v>1996</v>
      </c>
      <c r="C60" s="139">
        <f t="shared" si="1"/>
        <v>9.7142857142857142E-2</v>
      </c>
      <c r="D60" s="140"/>
      <c r="E60" s="141"/>
      <c r="F60" s="47" t="s">
        <v>30</v>
      </c>
      <c r="G60" s="141">
        <f>G19*$F$39</f>
        <v>9.2592000000000008E-2</v>
      </c>
      <c r="H60" s="47"/>
      <c r="I60" s="49"/>
      <c r="J60" s="47"/>
      <c r="K60" s="49"/>
      <c r="L60" s="47" t="s">
        <v>28</v>
      </c>
      <c r="M60" s="141">
        <f t="shared" si="5"/>
        <v>8.5272000000000014E-2</v>
      </c>
      <c r="N60" s="47"/>
      <c r="O60" s="49"/>
      <c r="P60" s="47"/>
      <c r="Q60" s="49"/>
      <c r="R60" s="47"/>
      <c r="S60" s="48"/>
      <c r="T60" s="47"/>
      <c r="U60" s="49"/>
      <c r="V60" s="47"/>
      <c r="W60" s="48"/>
      <c r="X60" s="47"/>
      <c r="Y60" s="47"/>
      <c r="Z60" s="47"/>
    </row>
    <row r="61" spans="1:27" hidden="1" x14ac:dyDescent="0.25">
      <c r="A61" s="47">
        <v>20</v>
      </c>
      <c r="B61" s="47">
        <v>1995</v>
      </c>
      <c r="C61" s="139">
        <f t="shared" si="1"/>
        <v>9.1428571428571428E-2</v>
      </c>
      <c r="D61" s="140"/>
      <c r="E61" s="141"/>
      <c r="F61" s="47" t="s">
        <v>32</v>
      </c>
      <c r="G61" s="141">
        <f>G20*$F$39</f>
        <v>8.2304000000000002E-2</v>
      </c>
      <c r="H61" s="47"/>
      <c r="I61" s="49"/>
      <c r="J61" s="47"/>
      <c r="K61" s="49"/>
      <c r="L61" s="47" t="s">
        <v>26</v>
      </c>
      <c r="M61" s="141">
        <f t="shared" si="5"/>
        <v>8.0784000000000009E-2</v>
      </c>
      <c r="N61" s="47"/>
      <c r="O61" s="49"/>
      <c r="P61" s="47"/>
      <c r="Q61" s="49"/>
      <c r="R61" s="47"/>
      <c r="S61" s="48"/>
      <c r="T61" s="47"/>
      <c r="U61" s="49"/>
      <c r="V61" s="47"/>
      <c r="W61" s="48"/>
      <c r="X61" s="47"/>
      <c r="Y61" s="47">
        <v>10</v>
      </c>
      <c r="Z61" s="47" t="s">
        <v>240</v>
      </c>
    </row>
    <row r="62" spans="1:27" hidden="1" x14ac:dyDescent="0.25">
      <c r="A62" s="47">
        <v>21</v>
      </c>
      <c r="B62" s="47">
        <v>1994</v>
      </c>
      <c r="C62" s="139">
        <f t="shared" si="1"/>
        <v>8.5714285714285715E-2</v>
      </c>
      <c r="D62" s="47"/>
      <c r="E62" s="49"/>
      <c r="F62" s="47"/>
      <c r="G62" s="49"/>
      <c r="H62" s="50"/>
      <c r="I62" s="49"/>
      <c r="J62" s="47"/>
      <c r="K62" s="141"/>
      <c r="L62" s="146">
        <v>3406</v>
      </c>
      <c r="M62" s="141">
        <f t="shared" si="5"/>
        <v>7.1808000000000011E-2</v>
      </c>
      <c r="N62" s="47"/>
      <c r="O62" s="49"/>
      <c r="P62" s="47"/>
      <c r="Q62" s="49"/>
      <c r="R62" s="47"/>
      <c r="S62" s="48"/>
      <c r="T62" s="47"/>
      <c r="U62" s="49"/>
      <c r="V62" s="47"/>
      <c r="W62" s="48"/>
      <c r="X62" s="47"/>
      <c r="Y62" s="47">
        <v>9.9</v>
      </c>
      <c r="Z62" s="47" t="s">
        <v>240</v>
      </c>
    </row>
    <row r="63" spans="1:27" hidden="1" x14ac:dyDescent="0.25">
      <c r="A63" s="47">
        <v>22</v>
      </c>
      <c r="B63" s="47">
        <v>1993</v>
      </c>
      <c r="C63" s="139">
        <f t="shared" si="1"/>
        <v>0.08</v>
      </c>
      <c r="D63" s="140" t="s">
        <v>145</v>
      </c>
      <c r="E63" s="141">
        <v>0</v>
      </c>
      <c r="F63" s="47" t="s">
        <v>145</v>
      </c>
      <c r="G63" s="141">
        <v>0</v>
      </c>
      <c r="H63" s="50"/>
      <c r="I63" s="49"/>
      <c r="J63" s="47"/>
      <c r="K63" s="141"/>
      <c r="L63" s="47" t="s">
        <v>27</v>
      </c>
      <c r="M63" s="141">
        <f t="shared" si="5"/>
        <v>6.2832000000000013E-2</v>
      </c>
      <c r="N63" s="47"/>
      <c r="O63" s="49"/>
      <c r="P63" s="47"/>
      <c r="Q63" s="49"/>
      <c r="R63" s="47"/>
      <c r="S63" s="48"/>
      <c r="T63" s="47"/>
      <c r="U63" s="49"/>
      <c r="V63" s="47"/>
      <c r="W63" s="48"/>
      <c r="X63" s="47"/>
      <c r="Y63" s="47">
        <v>9.8000000000000007</v>
      </c>
      <c r="Z63" s="47" t="s">
        <v>240</v>
      </c>
    </row>
    <row r="64" spans="1:27" hidden="1" x14ac:dyDescent="0.25">
      <c r="A64" s="47">
        <v>23</v>
      </c>
      <c r="B64" s="47">
        <v>1992</v>
      </c>
      <c r="C64" s="139">
        <f t="shared" si="1"/>
        <v>7.4285714285714288E-2</v>
      </c>
      <c r="D64" s="47"/>
      <c r="E64" s="49"/>
      <c r="F64" s="47"/>
      <c r="G64" s="47"/>
      <c r="H64" s="50"/>
      <c r="I64" s="49"/>
      <c r="J64" s="47" t="s">
        <v>145</v>
      </c>
      <c r="K64" s="141">
        <v>0</v>
      </c>
      <c r="L64" s="47" t="s">
        <v>145</v>
      </c>
      <c r="M64" s="141">
        <v>0</v>
      </c>
      <c r="N64" s="47"/>
      <c r="O64" s="49"/>
      <c r="P64" s="47"/>
      <c r="Q64" s="49"/>
      <c r="R64" s="47"/>
      <c r="S64" s="48"/>
      <c r="T64" s="47"/>
      <c r="U64" s="49"/>
      <c r="V64" s="47"/>
      <c r="W64" s="48"/>
      <c r="X64" s="47"/>
      <c r="Y64" s="47">
        <v>9.6999999999999993</v>
      </c>
      <c r="Z64" s="47" t="s">
        <v>241</v>
      </c>
    </row>
    <row r="65" spans="1:29" hidden="1" x14ac:dyDescent="0.25">
      <c r="A65" s="47">
        <v>24</v>
      </c>
      <c r="B65" s="47">
        <v>1991</v>
      </c>
      <c r="C65" s="139">
        <f t="shared" si="1"/>
        <v>6.8571428571428575E-2</v>
      </c>
      <c r="D65" s="140"/>
      <c r="E65" s="141"/>
      <c r="F65" s="47"/>
      <c r="G65" s="49"/>
      <c r="H65" s="50"/>
      <c r="I65" s="49"/>
      <c r="J65" s="47"/>
      <c r="K65" s="141"/>
      <c r="L65" s="47"/>
      <c r="M65" s="49"/>
      <c r="N65" s="47"/>
      <c r="O65" s="49"/>
      <c r="P65" s="47"/>
      <c r="Q65" s="49"/>
      <c r="R65" s="47"/>
      <c r="S65" s="48"/>
      <c r="T65" s="47"/>
      <c r="U65" s="49"/>
      <c r="V65" s="47"/>
      <c r="W65" s="48"/>
      <c r="X65" s="47"/>
      <c r="Y65" s="47">
        <v>9.6</v>
      </c>
      <c r="Z65" s="47" t="s">
        <v>241</v>
      </c>
    </row>
    <row r="66" spans="1:29" hidden="1" x14ac:dyDescent="0.25">
      <c r="A66" s="47">
        <v>25</v>
      </c>
      <c r="B66" s="47">
        <v>1990</v>
      </c>
      <c r="C66" s="139">
        <f t="shared" si="1"/>
        <v>6.2857142857142861E-2</v>
      </c>
      <c r="D66" s="140"/>
      <c r="E66" s="141"/>
      <c r="F66" s="47"/>
      <c r="G66" s="49"/>
      <c r="H66" s="50"/>
      <c r="I66" s="49"/>
      <c r="J66" s="47"/>
      <c r="K66" s="141"/>
      <c r="L66" s="47"/>
      <c r="M66" s="49"/>
      <c r="N66" s="47"/>
      <c r="O66" s="49"/>
      <c r="P66" s="47"/>
      <c r="Q66" s="49"/>
      <c r="R66" s="47"/>
      <c r="S66" s="48"/>
      <c r="T66" s="47"/>
      <c r="U66" s="49"/>
      <c r="V66" s="47"/>
      <c r="W66" s="48"/>
      <c r="X66" s="47"/>
      <c r="Y66" s="47">
        <v>9.5</v>
      </c>
      <c r="Z66" s="47" t="s">
        <v>241</v>
      </c>
    </row>
    <row r="67" spans="1:29" hidden="1" x14ac:dyDescent="0.25">
      <c r="A67" s="47">
        <v>26</v>
      </c>
      <c r="B67" s="47">
        <v>1989</v>
      </c>
      <c r="C67" s="139">
        <f t="shared" si="1"/>
        <v>5.7142857142857141E-2</v>
      </c>
      <c r="D67" s="140"/>
      <c r="E67" s="141"/>
      <c r="F67" s="47"/>
      <c r="G67" s="49"/>
      <c r="H67" s="47"/>
      <c r="I67" s="49"/>
      <c r="J67" s="47"/>
      <c r="K67" s="141"/>
      <c r="L67" s="47"/>
      <c r="M67" s="49"/>
      <c r="N67" s="47"/>
      <c r="O67" s="49"/>
      <c r="P67" s="47"/>
      <c r="Q67" s="49"/>
      <c r="R67" s="47"/>
      <c r="S67" s="48"/>
      <c r="T67" s="47"/>
      <c r="U67" s="49"/>
      <c r="V67" s="47"/>
      <c r="W67" s="48"/>
      <c r="X67" s="47"/>
      <c r="Y67" s="47">
        <v>9.4</v>
      </c>
      <c r="Z67" s="47" t="s">
        <v>241</v>
      </c>
    </row>
    <row r="68" spans="1:29" hidden="1" x14ac:dyDescent="0.25">
      <c r="A68" s="47">
        <v>27</v>
      </c>
      <c r="B68" s="47">
        <v>1988</v>
      </c>
      <c r="C68" s="139">
        <f t="shared" si="1"/>
        <v>5.1428571428571428E-2</v>
      </c>
      <c r="D68" s="140"/>
      <c r="E68" s="141"/>
      <c r="F68" s="47"/>
      <c r="G68" s="49"/>
      <c r="H68" s="50"/>
      <c r="I68" s="49"/>
      <c r="J68" s="47"/>
      <c r="K68" s="141"/>
      <c r="L68" s="47"/>
      <c r="M68" s="49"/>
      <c r="N68" s="47"/>
      <c r="O68" s="49"/>
      <c r="P68" s="47"/>
      <c r="Q68" s="49"/>
      <c r="R68" s="47"/>
      <c r="S68" s="48"/>
      <c r="T68" s="47"/>
      <c r="U68" s="49"/>
      <c r="V68" s="47"/>
      <c r="W68" s="48"/>
      <c r="X68" s="47"/>
      <c r="Y68" s="47">
        <v>9.3000000000000007</v>
      </c>
      <c r="Z68" s="47" t="s">
        <v>241</v>
      </c>
    </row>
    <row r="69" spans="1:29" hidden="1" x14ac:dyDescent="0.25">
      <c r="A69" s="47">
        <v>28</v>
      </c>
      <c r="B69" s="47">
        <v>1987</v>
      </c>
      <c r="C69" s="139">
        <f t="shared" si="1"/>
        <v>4.5714285714285714E-2</v>
      </c>
      <c r="D69" s="140"/>
      <c r="E69" s="141"/>
      <c r="F69" s="47"/>
      <c r="G69" s="49"/>
      <c r="H69" s="50"/>
      <c r="I69" s="49"/>
      <c r="J69" s="47"/>
      <c r="K69" s="141"/>
      <c r="L69" s="47"/>
      <c r="M69" s="49"/>
      <c r="N69" s="47"/>
      <c r="O69" s="49"/>
      <c r="P69" s="47"/>
      <c r="Q69" s="49"/>
      <c r="R69" s="47"/>
      <c r="S69" s="48"/>
      <c r="T69" s="47"/>
      <c r="U69" s="49"/>
      <c r="V69" s="47"/>
      <c r="W69" s="48"/>
      <c r="X69" s="47"/>
      <c r="Y69" s="47">
        <v>9.1999999999999993</v>
      </c>
      <c r="Z69" s="47" t="s">
        <v>242</v>
      </c>
    </row>
    <row r="70" spans="1:29" hidden="1" x14ac:dyDescent="0.25">
      <c r="A70" s="47">
        <v>29</v>
      </c>
      <c r="B70" s="47">
        <v>1986</v>
      </c>
      <c r="C70" s="139">
        <f t="shared" si="1"/>
        <v>0.04</v>
      </c>
      <c r="D70" s="140"/>
      <c r="E70" s="141"/>
      <c r="F70" s="146"/>
      <c r="G70" s="141"/>
      <c r="H70" s="50"/>
      <c r="I70" s="49"/>
      <c r="J70" s="47"/>
      <c r="K70" s="141"/>
      <c r="L70" s="49"/>
      <c r="M70" s="49"/>
      <c r="N70" s="47"/>
      <c r="O70" s="49"/>
      <c r="P70" s="47"/>
      <c r="Q70" s="49"/>
      <c r="R70" s="47"/>
      <c r="S70" s="48"/>
      <c r="T70" s="47"/>
      <c r="U70" s="49"/>
      <c r="V70" s="47"/>
      <c r="W70" s="48"/>
      <c r="X70" s="47"/>
      <c r="Y70" s="47">
        <v>9.1</v>
      </c>
      <c r="Z70" s="47" t="s">
        <v>242</v>
      </c>
    </row>
    <row r="71" spans="1:29" hidden="1" x14ac:dyDescent="0.25">
      <c r="A71" s="47">
        <v>30</v>
      </c>
      <c r="B71" s="47">
        <v>1985</v>
      </c>
      <c r="C71" s="139">
        <f t="shared" si="1"/>
        <v>3.4285714285714287E-2</v>
      </c>
      <c r="D71" s="140"/>
      <c r="E71" s="141"/>
      <c r="F71" s="146"/>
      <c r="G71" s="141"/>
      <c r="H71" s="50"/>
      <c r="I71" s="49"/>
      <c r="J71" s="47"/>
      <c r="K71" s="141"/>
      <c r="L71" s="49"/>
      <c r="M71" s="49"/>
      <c r="N71" s="47"/>
      <c r="O71" s="49"/>
      <c r="P71" s="47"/>
      <c r="Q71" s="49"/>
      <c r="R71" s="47"/>
      <c r="S71" s="48"/>
      <c r="T71" s="47"/>
      <c r="U71" s="49"/>
      <c r="V71" s="47"/>
      <c r="W71" s="48"/>
      <c r="X71" s="47"/>
      <c r="Y71" s="47">
        <v>9</v>
      </c>
      <c r="Z71" s="47" t="s">
        <v>242</v>
      </c>
    </row>
    <row r="72" spans="1:29" hidden="1" x14ac:dyDescent="0.25">
      <c r="A72" s="47">
        <v>31</v>
      </c>
      <c r="B72" s="47">
        <v>1984</v>
      </c>
      <c r="C72" s="139">
        <f t="shared" si="1"/>
        <v>2.8571428571428571E-2</v>
      </c>
      <c r="D72" s="140"/>
      <c r="E72" s="141"/>
      <c r="F72" s="146"/>
      <c r="G72" s="141"/>
      <c r="H72" s="47"/>
      <c r="I72" s="49"/>
      <c r="J72" s="47"/>
      <c r="K72" s="141"/>
      <c r="L72" s="49"/>
      <c r="M72" s="49"/>
      <c r="N72" s="47"/>
      <c r="O72" s="49"/>
      <c r="P72" s="47"/>
      <c r="Q72" s="49"/>
      <c r="R72" s="47"/>
      <c r="S72" s="48"/>
      <c r="T72" s="47"/>
      <c r="U72" s="49"/>
      <c r="V72" s="47"/>
      <c r="W72" s="48"/>
      <c r="X72" s="47"/>
      <c r="Y72" s="47">
        <v>8.9</v>
      </c>
      <c r="Z72" s="47" t="s">
        <v>242</v>
      </c>
    </row>
    <row r="73" spans="1:29" hidden="1" x14ac:dyDescent="0.25">
      <c r="A73" s="47">
        <v>32</v>
      </c>
      <c r="B73" s="47">
        <v>1983</v>
      </c>
      <c r="C73" s="139">
        <f t="shared" si="1"/>
        <v>2.2857142857142857E-2</v>
      </c>
      <c r="D73" s="140"/>
      <c r="E73" s="141"/>
      <c r="F73" s="146"/>
      <c r="G73" s="141"/>
      <c r="H73" s="50"/>
      <c r="I73" s="49"/>
      <c r="J73" s="47"/>
      <c r="K73" s="141"/>
      <c r="L73" s="49"/>
      <c r="M73" s="49"/>
      <c r="N73" s="47"/>
      <c r="O73" s="49"/>
      <c r="P73" s="47"/>
      <c r="Q73" s="49"/>
      <c r="R73" s="47"/>
      <c r="S73" s="48"/>
      <c r="T73" s="47"/>
      <c r="U73" s="49"/>
      <c r="V73" s="47"/>
      <c r="W73" s="48"/>
      <c r="X73" s="47"/>
      <c r="Y73" s="47">
        <v>8.8000000000000007</v>
      </c>
      <c r="Z73" s="47" t="s">
        <v>242</v>
      </c>
    </row>
    <row r="74" spans="1:29" hidden="1" x14ac:dyDescent="0.25">
      <c r="A74" s="47">
        <v>33</v>
      </c>
      <c r="B74" s="47">
        <v>1982</v>
      </c>
      <c r="C74" s="139">
        <f t="shared" si="1"/>
        <v>1.7142857142857144E-2</v>
      </c>
      <c r="D74" s="140"/>
      <c r="E74" s="141"/>
      <c r="F74" s="47"/>
      <c r="G74" s="49"/>
      <c r="H74" s="50"/>
      <c r="I74" s="49"/>
      <c r="J74" s="47"/>
      <c r="K74" s="49"/>
      <c r="L74" s="47"/>
      <c r="M74" s="49"/>
      <c r="N74" s="47"/>
      <c r="O74" s="49"/>
      <c r="P74" s="47"/>
      <c r="Q74" s="49"/>
      <c r="R74" s="47"/>
      <c r="S74" s="48"/>
      <c r="T74" s="47"/>
      <c r="U74" s="49"/>
      <c r="V74" s="47"/>
      <c r="W74" s="48"/>
      <c r="X74" s="47"/>
      <c r="Y74" s="47">
        <v>8.6999999999999993</v>
      </c>
      <c r="Z74" s="47" t="s">
        <v>242</v>
      </c>
    </row>
    <row r="75" spans="1:29" hidden="1" x14ac:dyDescent="0.25">
      <c r="A75" s="47">
        <v>34</v>
      </c>
      <c r="B75" s="47">
        <v>1981</v>
      </c>
      <c r="C75" s="139">
        <f t="shared" si="1"/>
        <v>1.1428571428571429E-2</v>
      </c>
      <c r="D75" s="140"/>
      <c r="E75" s="141"/>
      <c r="F75" s="47"/>
      <c r="G75" s="49"/>
      <c r="H75" s="50"/>
      <c r="I75" s="49"/>
      <c r="J75" s="47"/>
      <c r="K75" s="141"/>
      <c r="L75" s="47"/>
      <c r="M75" s="49"/>
      <c r="N75" s="47"/>
      <c r="O75" s="49"/>
      <c r="P75" s="47"/>
      <c r="Q75" s="49"/>
      <c r="R75" s="47"/>
      <c r="S75" s="48"/>
      <c r="T75" s="47"/>
      <c r="U75" s="49"/>
      <c r="V75" s="47"/>
      <c r="W75" s="48"/>
      <c r="X75" s="47"/>
      <c r="Y75" s="47">
        <v>8.6</v>
      </c>
      <c r="Z75" s="47" t="s">
        <v>242</v>
      </c>
    </row>
    <row r="76" spans="1:29" hidden="1" x14ac:dyDescent="0.25">
      <c r="A76" s="47">
        <v>35</v>
      </c>
      <c r="B76" s="47">
        <v>1980</v>
      </c>
      <c r="C76" s="139">
        <f t="shared" si="1"/>
        <v>5.7142857142857143E-3</v>
      </c>
      <c r="D76" s="47"/>
      <c r="E76" s="141"/>
      <c r="F76" s="47"/>
      <c r="G76" s="49"/>
      <c r="H76" s="50"/>
      <c r="I76" s="49"/>
      <c r="J76" s="47"/>
      <c r="K76" s="141"/>
      <c r="L76" s="47"/>
      <c r="M76" s="49"/>
      <c r="N76" s="47"/>
      <c r="O76" s="49"/>
      <c r="P76" s="47"/>
      <c r="Q76" s="49"/>
      <c r="R76" s="47"/>
      <c r="S76" s="48"/>
      <c r="T76" s="47"/>
      <c r="U76" s="49"/>
      <c r="V76" s="47"/>
      <c r="W76" s="48"/>
      <c r="X76" s="47"/>
      <c r="Y76" s="47">
        <v>8.5000000000000107</v>
      </c>
      <c r="Z76" s="47" t="s">
        <v>243</v>
      </c>
    </row>
    <row r="77" spans="1:29" hidden="1" x14ac:dyDescent="0.25">
      <c r="A77" s="111"/>
      <c r="B77" s="111"/>
      <c r="C77" s="107"/>
      <c r="D77" s="111"/>
      <c r="E77" s="113"/>
      <c r="F77" s="111"/>
      <c r="G77" s="111"/>
      <c r="H77" s="111"/>
      <c r="I77" s="113"/>
      <c r="J77" s="111"/>
      <c r="K77" s="113"/>
      <c r="L77" s="111"/>
      <c r="M77" s="113"/>
      <c r="N77" s="111"/>
      <c r="O77" s="113"/>
      <c r="P77" s="111"/>
      <c r="Q77" s="113"/>
      <c r="R77" s="111"/>
      <c r="S77" s="107"/>
      <c r="T77" s="111"/>
      <c r="U77" s="113"/>
      <c r="V77" s="111"/>
      <c r="W77" s="107"/>
      <c r="X77" s="47"/>
      <c r="Y77" s="47">
        <v>8.4000000000000092</v>
      </c>
      <c r="Z77" s="47" t="s">
        <v>243</v>
      </c>
    </row>
    <row r="78" spans="1:29" hidden="1" x14ac:dyDescent="0.25">
      <c r="A78" s="47"/>
      <c r="B78" s="47"/>
      <c r="C78" s="48"/>
      <c r="D78" s="47"/>
      <c r="E78" s="49"/>
      <c r="F78" s="47"/>
      <c r="G78" s="49"/>
      <c r="H78" s="50"/>
      <c r="I78" s="49"/>
      <c r="J78" s="64" t="s">
        <v>0</v>
      </c>
      <c r="K78" s="49"/>
      <c r="L78" s="140" t="s">
        <v>1</v>
      </c>
      <c r="M78" s="64" t="s">
        <v>16</v>
      </c>
      <c r="N78" s="64" t="s">
        <v>3</v>
      </c>
      <c r="O78" s="64" t="s">
        <v>2</v>
      </c>
      <c r="P78" s="50"/>
      <c r="Q78" s="147" t="s">
        <v>140</v>
      </c>
      <c r="R78" s="64" t="s">
        <v>247</v>
      </c>
      <c r="S78" s="49"/>
      <c r="T78" s="47"/>
      <c r="U78" s="49"/>
      <c r="V78" s="47"/>
      <c r="W78" s="49"/>
      <c r="X78" s="47"/>
      <c r="Y78" s="47">
        <v>8.3000000000000096</v>
      </c>
      <c r="Z78" s="47" t="s">
        <v>243</v>
      </c>
    </row>
    <row r="79" spans="1:29" hidden="1" x14ac:dyDescent="0.25">
      <c r="A79" s="47"/>
      <c r="B79" s="47"/>
      <c r="C79" s="48"/>
      <c r="D79" s="47"/>
      <c r="E79" s="49"/>
      <c r="F79" s="47"/>
      <c r="G79" s="49"/>
      <c r="H79" s="50"/>
      <c r="I79" s="49"/>
      <c r="J79" s="140" t="s">
        <v>1</v>
      </c>
      <c r="K79" s="49"/>
      <c r="L79" s="47" t="s">
        <v>44</v>
      </c>
      <c r="M79" s="47" t="s">
        <v>37</v>
      </c>
      <c r="N79" s="146" t="s">
        <v>34</v>
      </c>
      <c r="O79" s="47" t="s">
        <v>29</v>
      </c>
      <c r="P79" s="50"/>
      <c r="Q79" s="47" t="s">
        <v>41</v>
      </c>
      <c r="R79" s="47" t="s">
        <v>240</v>
      </c>
      <c r="S79" s="49"/>
      <c r="T79" s="47"/>
      <c r="U79" s="49"/>
      <c r="V79" s="47"/>
      <c r="W79" s="49"/>
      <c r="X79" s="47"/>
      <c r="Y79" s="47">
        <v>8.2000000000000099</v>
      </c>
      <c r="Z79" s="47" t="s">
        <v>243</v>
      </c>
    </row>
    <row r="80" spans="1:29" hidden="1" x14ac:dyDescent="0.25">
      <c r="A80" s="47"/>
      <c r="B80" s="47"/>
      <c r="C80" s="48"/>
      <c r="D80" s="47"/>
      <c r="E80" s="49"/>
      <c r="F80" s="47"/>
      <c r="G80" s="49"/>
      <c r="H80" s="50"/>
      <c r="I80" s="49"/>
      <c r="J80" s="64" t="s">
        <v>16</v>
      </c>
      <c r="K80" s="49"/>
      <c r="L80" s="47" t="s">
        <v>42</v>
      </c>
      <c r="M80" s="47" t="s">
        <v>36</v>
      </c>
      <c r="N80" s="146">
        <v>9400</v>
      </c>
      <c r="O80" s="47" t="s">
        <v>30</v>
      </c>
      <c r="P80" s="50"/>
      <c r="Q80" s="148" t="s">
        <v>145</v>
      </c>
      <c r="R80" s="47" t="s">
        <v>241</v>
      </c>
      <c r="S80" s="49"/>
      <c r="T80" s="47"/>
      <c r="U80" s="49"/>
      <c r="V80" s="47"/>
      <c r="W80" s="49"/>
      <c r="X80" s="47"/>
      <c r="Y80" s="47">
        <v>8.1000000000000103</v>
      </c>
      <c r="Z80" s="47" t="s">
        <v>243</v>
      </c>
      <c r="AC80" s="4"/>
    </row>
    <row r="81" spans="1:29" hidden="1" x14ac:dyDescent="0.25">
      <c r="A81" s="47"/>
      <c r="B81" s="47"/>
      <c r="C81" s="48"/>
      <c r="D81" s="47"/>
      <c r="E81" s="49"/>
      <c r="F81" s="47"/>
      <c r="G81" s="49"/>
      <c r="H81" s="50"/>
      <c r="I81" s="49"/>
      <c r="J81" s="64" t="s">
        <v>3</v>
      </c>
      <c r="K81" s="49"/>
      <c r="L81" s="47" t="s">
        <v>43</v>
      </c>
      <c r="M81" s="47" t="s">
        <v>35</v>
      </c>
      <c r="N81" s="146" t="s">
        <v>33</v>
      </c>
      <c r="O81" s="47" t="s">
        <v>32</v>
      </c>
      <c r="P81" s="50"/>
      <c r="Q81" s="49"/>
      <c r="R81" s="47" t="s">
        <v>242</v>
      </c>
      <c r="S81" s="49"/>
      <c r="T81" s="47"/>
      <c r="U81" s="49"/>
      <c r="V81" s="47"/>
      <c r="W81" s="49"/>
      <c r="X81" s="47"/>
      <c r="Y81" s="47">
        <v>8.0000000000000107</v>
      </c>
      <c r="Z81" s="47" t="s">
        <v>243</v>
      </c>
      <c r="AC81" s="4"/>
    </row>
    <row r="82" spans="1:29" hidden="1" x14ac:dyDescent="0.25">
      <c r="A82" s="47"/>
      <c r="B82" s="47"/>
      <c r="C82" s="48"/>
      <c r="D82" s="47"/>
      <c r="E82" s="49"/>
      <c r="F82" s="47"/>
      <c r="G82" s="49"/>
      <c r="H82" s="50"/>
      <c r="I82" s="49"/>
      <c r="J82" s="64" t="s">
        <v>2</v>
      </c>
      <c r="K82" s="49"/>
      <c r="L82" s="47" t="s">
        <v>141</v>
      </c>
      <c r="M82" s="148" t="s">
        <v>145</v>
      </c>
      <c r="N82" s="146">
        <v>9200</v>
      </c>
      <c r="O82" s="148" t="s">
        <v>145</v>
      </c>
      <c r="P82" s="50"/>
      <c r="Q82" s="49"/>
      <c r="R82" s="47" t="s">
        <v>243</v>
      </c>
      <c r="S82" s="49"/>
      <c r="T82" s="47"/>
      <c r="U82" s="49"/>
      <c r="V82" s="47"/>
      <c r="W82" s="49"/>
      <c r="X82" s="47"/>
      <c r="Y82" s="47">
        <v>7.9000000000000101</v>
      </c>
      <c r="Z82" s="47" t="s">
        <v>243</v>
      </c>
      <c r="AC82" s="4"/>
    </row>
    <row r="83" spans="1:29" hidden="1" x14ac:dyDescent="0.25">
      <c r="A83" s="47"/>
      <c r="B83" s="47"/>
      <c r="C83" s="48"/>
      <c r="D83" s="47"/>
      <c r="E83" s="49"/>
      <c r="F83" s="47"/>
      <c r="G83" s="49"/>
      <c r="H83" s="50"/>
      <c r="I83" s="49"/>
      <c r="J83" s="148" t="s">
        <v>145</v>
      </c>
      <c r="K83" s="49"/>
      <c r="L83" s="47" t="s">
        <v>142</v>
      </c>
      <c r="M83" s="49"/>
      <c r="N83" s="148" t="s">
        <v>145</v>
      </c>
      <c r="O83" s="49"/>
      <c r="P83" s="50"/>
      <c r="Q83" s="49"/>
      <c r="R83" s="47" t="s">
        <v>244</v>
      </c>
      <c r="S83" s="49"/>
      <c r="T83" s="47"/>
      <c r="U83" s="49"/>
      <c r="V83" s="47"/>
      <c r="W83" s="49"/>
      <c r="X83" s="47"/>
      <c r="Y83" s="47">
        <v>7.8000000000000096</v>
      </c>
      <c r="Z83" s="47" t="s">
        <v>243</v>
      </c>
      <c r="AC83" s="4"/>
    </row>
    <row r="84" spans="1:29" hidden="1" x14ac:dyDescent="0.25">
      <c r="A84" s="47"/>
      <c r="B84" s="47"/>
      <c r="C84" s="48"/>
      <c r="D84" s="47"/>
      <c r="E84" s="49"/>
      <c r="F84" s="47"/>
      <c r="G84" s="49"/>
      <c r="H84" s="50"/>
      <c r="I84" s="49"/>
      <c r="J84" s="47"/>
      <c r="K84" s="49"/>
      <c r="L84" s="47" t="s">
        <v>143</v>
      </c>
      <c r="M84" s="49"/>
      <c r="N84" s="50"/>
      <c r="O84" s="49"/>
      <c r="P84" s="50"/>
      <c r="Q84" s="49"/>
      <c r="R84" s="47" t="s">
        <v>245</v>
      </c>
      <c r="S84" s="49"/>
      <c r="T84" s="47"/>
      <c r="U84" s="49"/>
      <c r="V84" s="47"/>
      <c r="W84" s="49"/>
      <c r="X84" s="47"/>
      <c r="Y84" s="47">
        <v>7.7000000000000099</v>
      </c>
      <c r="Z84" s="47" t="s">
        <v>243</v>
      </c>
      <c r="AC84" s="4"/>
    </row>
    <row r="85" spans="1:29" hidden="1" x14ac:dyDescent="0.25">
      <c r="A85" s="47"/>
      <c r="B85" s="47"/>
      <c r="C85" s="48"/>
      <c r="D85" s="47"/>
      <c r="E85" s="49"/>
      <c r="F85" s="47"/>
      <c r="G85" s="49"/>
      <c r="H85" s="50"/>
      <c r="I85" s="49"/>
      <c r="J85" s="47"/>
      <c r="K85" s="49"/>
      <c r="L85" s="47" t="s">
        <v>144</v>
      </c>
      <c r="M85" s="49"/>
      <c r="N85" s="47"/>
      <c r="O85" s="49"/>
      <c r="P85" s="50"/>
      <c r="Q85" s="49"/>
      <c r="R85" s="47" t="s">
        <v>254</v>
      </c>
      <c r="S85" s="49"/>
      <c r="T85" s="47"/>
      <c r="U85" s="49"/>
      <c r="V85" s="47"/>
      <c r="W85" s="49"/>
      <c r="X85" s="47"/>
      <c r="Y85" s="47">
        <v>7.6000000000000103</v>
      </c>
      <c r="Z85" s="47" t="s">
        <v>243</v>
      </c>
      <c r="AC85" s="4"/>
    </row>
    <row r="86" spans="1:29" hidden="1" x14ac:dyDescent="0.25">
      <c r="A86" s="47"/>
      <c r="B86" s="47"/>
      <c r="C86" s="48"/>
      <c r="D86" s="47"/>
      <c r="E86" s="49"/>
      <c r="F86" s="47"/>
      <c r="G86" s="49"/>
      <c r="H86" s="50"/>
      <c r="I86" s="49"/>
      <c r="J86" s="47"/>
      <c r="K86" s="49"/>
      <c r="L86" s="148" t="s">
        <v>145</v>
      </c>
      <c r="M86" s="49"/>
      <c r="N86" s="47"/>
      <c r="O86" s="49"/>
      <c r="P86" s="50"/>
      <c r="Q86" s="49"/>
      <c r="R86" s="47"/>
      <c r="S86" s="49"/>
      <c r="T86" s="47"/>
      <c r="U86" s="49"/>
      <c r="V86" s="47"/>
      <c r="W86" s="49"/>
      <c r="X86" s="47"/>
      <c r="Y86" s="47">
        <v>7.5000000000000098</v>
      </c>
      <c r="Z86" s="47" t="s">
        <v>244</v>
      </c>
      <c r="AC86" s="4"/>
    </row>
    <row r="87" spans="1:29" hidden="1" x14ac:dyDescent="0.25">
      <c r="A87" s="47"/>
      <c r="B87" s="47"/>
      <c r="C87" s="48"/>
      <c r="D87" s="47"/>
      <c r="E87" s="49"/>
      <c r="F87" s="47"/>
      <c r="G87" s="49"/>
      <c r="H87" s="50"/>
      <c r="I87" s="49"/>
      <c r="J87" s="47"/>
      <c r="K87" s="49"/>
      <c r="L87" s="64" t="s">
        <v>5</v>
      </c>
      <c r="M87" s="141"/>
      <c r="N87" s="64" t="s">
        <v>17</v>
      </c>
      <c r="O87" s="49"/>
      <c r="P87" s="50"/>
      <c r="Q87" s="149" t="s">
        <v>139</v>
      </c>
      <c r="R87" s="47"/>
      <c r="S87" s="49"/>
      <c r="T87" s="47"/>
      <c r="U87" s="146"/>
      <c r="V87" s="146"/>
      <c r="W87" s="146"/>
      <c r="X87" s="47"/>
      <c r="Y87" s="47">
        <v>7.4000000000000101</v>
      </c>
      <c r="Z87" s="47" t="s">
        <v>244</v>
      </c>
      <c r="AC87" s="4"/>
    </row>
    <row r="88" spans="1:29" hidden="1" x14ac:dyDescent="0.25">
      <c r="A88" s="47"/>
      <c r="B88" s="47"/>
      <c r="C88" s="48"/>
      <c r="D88" s="47"/>
      <c r="E88" s="49"/>
      <c r="F88" s="47"/>
      <c r="G88" s="49"/>
      <c r="H88" s="50"/>
      <c r="I88" s="49"/>
      <c r="J88" s="47"/>
      <c r="K88" s="49"/>
      <c r="L88" s="47" t="s">
        <v>18</v>
      </c>
      <c r="M88" s="49"/>
      <c r="N88" s="50" t="s">
        <v>113</v>
      </c>
      <c r="O88" s="49"/>
      <c r="P88" s="50"/>
      <c r="Q88" s="47" t="s">
        <v>124</v>
      </c>
      <c r="R88" s="47"/>
      <c r="S88" s="49"/>
      <c r="T88" s="47"/>
      <c r="U88" s="49"/>
      <c r="V88" s="47"/>
      <c r="W88" s="49"/>
      <c r="X88" s="47"/>
      <c r="Y88" s="47">
        <v>7.3000000000000096</v>
      </c>
      <c r="Z88" s="47" t="s">
        <v>244</v>
      </c>
      <c r="AC88" s="4"/>
    </row>
    <row r="89" spans="1:29" hidden="1" x14ac:dyDescent="0.25">
      <c r="A89" s="47"/>
      <c r="B89" s="47"/>
      <c r="C89" s="48"/>
      <c r="D89" s="47"/>
      <c r="E89" s="49"/>
      <c r="F89" s="47"/>
      <c r="G89" s="49"/>
      <c r="H89" s="50"/>
      <c r="I89" s="49"/>
      <c r="J89" s="47"/>
      <c r="K89" s="49"/>
      <c r="L89" s="47" t="s">
        <v>11</v>
      </c>
      <c r="M89" s="49"/>
      <c r="N89" s="47" t="s">
        <v>114</v>
      </c>
      <c r="O89" s="49"/>
      <c r="P89" s="50"/>
      <c r="Q89" s="148" t="s">
        <v>145</v>
      </c>
      <c r="R89" s="47"/>
      <c r="S89" s="49"/>
      <c r="T89" s="47"/>
      <c r="U89" s="49"/>
      <c r="V89" s="47"/>
      <c r="W89" s="49"/>
      <c r="X89" s="47"/>
      <c r="Y89" s="47">
        <v>7.2000000000000099</v>
      </c>
      <c r="Z89" s="47" t="s">
        <v>244</v>
      </c>
      <c r="AA89" s="2"/>
      <c r="AC89" s="4"/>
    </row>
    <row r="90" spans="1:29" hidden="1" x14ac:dyDescent="0.25">
      <c r="A90" s="47"/>
      <c r="B90" s="47"/>
      <c r="C90" s="48"/>
      <c r="D90" s="47"/>
      <c r="E90" s="49"/>
      <c r="F90" s="47"/>
      <c r="G90" s="49"/>
      <c r="H90" s="50"/>
      <c r="I90" s="49"/>
      <c r="J90" s="47"/>
      <c r="K90" s="49"/>
      <c r="L90" s="47" t="s">
        <v>12</v>
      </c>
      <c r="M90" s="49"/>
      <c r="N90" s="50" t="s">
        <v>115</v>
      </c>
      <c r="O90" s="49"/>
      <c r="P90" s="150"/>
      <c r="Q90" s="49"/>
      <c r="R90" s="47"/>
      <c r="S90" s="49"/>
      <c r="T90" s="47"/>
      <c r="U90" s="49"/>
      <c r="V90" s="47"/>
      <c r="W90" s="49"/>
      <c r="X90" s="47"/>
      <c r="Y90" s="47">
        <v>7.1000000000000103</v>
      </c>
      <c r="Z90" s="47" t="s">
        <v>244</v>
      </c>
      <c r="AC90" s="4"/>
    </row>
    <row r="91" spans="1:29" hidden="1" x14ac:dyDescent="0.25">
      <c r="A91" s="47"/>
      <c r="B91" s="47"/>
      <c r="C91" s="48"/>
      <c r="D91" s="47"/>
      <c r="E91" s="49"/>
      <c r="F91" s="47"/>
      <c r="G91" s="49"/>
      <c r="H91" s="50"/>
      <c r="I91" s="49"/>
      <c r="J91" s="47"/>
      <c r="K91" s="49"/>
      <c r="L91" s="148" t="s">
        <v>145</v>
      </c>
      <c r="M91" s="49"/>
      <c r="N91" s="50" t="s">
        <v>116</v>
      </c>
      <c r="O91" s="49"/>
      <c r="P91" s="50"/>
      <c r="Q91" s="49"/>
      <c r="R91" s="47"/>
      <c r="S91" s="49"/>
      <c r="T91" s="47"/>
      <c r="U91" s="49"/>
      <c r="V91" s="47"/>
      <c r="W91" s="49"/>
      <c r="X91" s="47"/>
      <c r="Y91" s="47">
        <v>7.0000000000000098</v>
      </c>
      <c r="Z91" s="47" t="s">
        <v>244</v>
      </c>
      <c r="AC91" s="4"/>
    </row>
    <row r="92" spans="1:29" hidden="1" x14ac:dyDescent="0.25">
      <c r="A92" s="47"/>
      <c r="B92" s="47"/>
      <c r="C92" s="48"/>
      <c r="D92" s="47"/>
      <c r="E92" s="49"/>
      <c r="F92" s="47"/>
      <c r="G92" s="49"/>
      <c r="H92" s="50"/>
      <c r="I92" s="49"/>
      <c r="J92" s="47"/>
      <c r="K92" s="49"/>
      <c r="L92" s="64"/>
      <c r="M92" s="49"/>
      <c r="N92" s="148" t="s">
        <v>145</v>
      </c>
      <c r="O92" s="49"/>
      <c r="P92" s="50"/>
      <c r="Q92" s="49"/>
      <c r="R92" s="47"/>
      <c r="S92" s="49"/>
      <c r="T92" s="47"/>
      <c r="U92" s="49"/>
      <c r="V92" s="47"/>
      <c r="W92" s="49"/>
      <c r="X92" s="47"/>
      <c r="Y92" s="47">
        <v>6.9000000000000101</v>
      </c>
      <c r="Z92" s="47" t="s">
        <v>244</v>
      </c>
      <c r="AC92" s="4"/>
    </row>
    <row r="93" spans="1:29" hidden="1" x14ac:dyDescent="0.25">
      <c r="A93" s="47"/>
      <c r="B93" s="47"/>
      <c r="C93" s="48"/>
      <c r="D93" s="47"/>
      <c r="E93" s="49"/>
      <c r="F93" s="47"/>
      <c r="G93" s="49"/>
      <c r="H93" s="50"/>
      <c r="I93" s="49"/>
      <c r="J93" s="47"/>
      <c r="K93" s="49"/>
      <c r="L93" s="64" t="s">
        <v>18</v>
      </c>
      <c r="M93" s="64" t="s">
        <v>11</v>
      </c>
      <c r="N93" s="64" t="s">
        <v>12</v>
      </c>
      <c r="O93" s="49"/>
      <c r="P93" s="151" t="s">
        <v>7</v>
      </c>
      <c r="Q93" s="49"/>
      <c r="R93" s="64" t="s">
        <v>9</v>
      </c>
      <c r="S93" s="49"/>
      <c r="T93" s="64" t="s">
        <v>39</v>
      </c>
      <c r="U93" s="49"/>
      <c r="V93" s="47"/>
      <c r="W93" s="49"/>
      <c r="X93" s="47"/>
      <c r="Y93" s="47">
        <v>6.8000000000000096</v>
      </c>
      <c r="Z93" s="47" t="s">
        <v>244</v>
      </c>
      <c r="AC93" s="4"/>
    </row>
    <row r="94" spans="1:29" hidden="1" x14ac:dyDescent="0.25">
      <c r="A94" s="47"/>
      <c r="B94" s="47"/>
      <c r="C94" s="48"/>
      <c r="D94" s="47"/>
      <c r="E94" s="49"/>
      <c r="F94" s="47"/>
      <c r="G94" s="49"/>
      <c r="H94" s="50"/>
      <c r="I94" s="49"/>
      <c r="J94" s="47"/>
      <c r="K94" s="49"/>
      <c r="L94" s="47" t="s">
        <v>20</v>
      </c>
      <c r="M94" s="47" t="s">
        <v>31</v>
      </c>
      <c r="N94" s="47" t="s">
        <v>19</v>
      </c>
      <c r="O94" s="49"/>
      <c r="P94" s="47" t="s">
        <v>126</v>
      </c>
      <c r="Q94" s="49"/>
      <c r="R94" s="47" t="s">
        <v>15</v>
      </c>
      <c r="S94" s="49"/>
      <c r="T94" s="47" t="s">
        <v>133</v>
      </c>
      <c r="U94" s="49"/>
      <c r="V94" s="47"/>
      <c r="W94" s="49"/>
      <c r="X94" s="47"/>
      <c r="Y94" s="47">
        <v>6.7000000000000099</v>
      </c>
      <c r="Z94" s="47" t="s">
        <v>244</v>
      </c>
      <c r="AC94" s="4"/>
    </row>
    <row r="95" spans="1:29" hidden="1" x14ac:dyDescent="0.25">
      <c r="A95" s="47"/>
      <c r="B95" s="47"/>
      <c r="C95" s="48"/>
      <c r="D95" s="47"/>
      <c r="E95" s="49"/>
      <c r="F95" s="47"/>
      <c r="G95" s="49"/>
      <c r="H95" s="50"/>
      <c r="I95" s="49"/>
      <c r="J95" s="47"/>
      <c r="K95" s="49"/>
      <c r="L95" s="47" t="s">
        <v>117</v>
      </c>
      <c r="M95" s="47" t="s">
        <v>21</v>
      </c>
      <c r="N95" s="47" t="s">
        <v>28</v>
      </c>
      <c r="O95" s="49"/>
      <c r="P95" s="47" t="s">
        <v>125</v>
      </c>
      <c r="Q95" s="49"/>
      <c r="R95" s="47" t="s">
        <v>14</v>
      </c>
      <c r="S95" s="49"/>
      <c r="T95" s="47" t="s">
        <v>134</v>
      </c>
      <c r="U95" s="49"/>
      <c r="V95" s="47"/>
      <c r="W95" s="49"/>
      <c r="X95" s="47"/>
      <c r="Y95" s="47">
        <v>6.6000000000000103</v>
      </c>
      <c r="Z95" s="47" t="s">
        <v>244</v>
      </c>
      <c r="AC95" s="4"/>
    </row>
    <row r="96" spans="1:29" hidden="1" x14ac:dyDescent="0.25">
      <c r="A96" s="47"/>
      <c r="B96" s="47"/>
      <c r="C96" s="48"/>
      <c r="D96" s="47"/>
      <c r="E96" s="49"/>
      <c r="F96" s="47"/>
      <c r="G96" s="49"/>
      <c r="H96" s="50"/>
      <c r="I96" s="49"/>
      <c r="J96" s="47"/>
      <c r="K96" s="49"/>
      <c r="L96" s="47" t="s">
        <v>118</v>
      </c>
      <c r="M96" s="47" t="s">
        <v>22</v>
      </c>
      <c r="N96" s="47" t="s">
        <v>26</v>
      </c>
      <c r="O96" s="49"/>
      <c r="P96" s="145" t="s">
        <v>131</v>
      </c>
      <c r="Q96" s="49"/>
      <c r="R96" s="47" t="s">
        <v>13</v>
      </c>
      <c r="S96" s="49"/>
      <c r="T96" s="47" t="s">
        <v>135</v>
      </c>
      <c r="U96" s="49"/>
      <c r="V96" s="47"/>
      <c r="W96" s="49"/>
      <c r="X96" s="47"/>
      <c r="Y96" s="47">
        <v>6.5000000000000098</v>
      </c>
      <c r="Z96" s="47" t="s">
        <v>245</v>
      </c>
      <c r="AC96" s="4"/>
    </row>
    <row r="97" spans="1:29" hidden="1" x14ac:dyDescent="0.25">
      <c r="A97" s="47"/>
      <c r="B97" s="47"/>
      <c r="C97" s="48"/>
      <c r="D97" s="47"/>
      <c r="E97" s="49"/>
      <c r="F97" s="47"/>
      <c r="G97" s="49"/>
      <c r="H97" s="50"/>
      <c r="I97" s="49"/>
      <c r="J97" s="47"/>
      <c r="K97" s="49"/>
      <c r="L97" s="145" t="s">
        <v>119</v>
      </c>
      <c r="M97" s="47" t="s">
        <v>23</v>
      </c>
      <c r="N97" s="146">
        <v>3406</v>
      </c>
      <c r="O97" s="49"/>
      <c r="P97" s="145" t="s">
        <v>132</v>
      </c>
      <c r="Q97" s="49"/>
      <c r="R97" s="148" t="s">
        <v>145</v>
      </c>
      <c r="S97" s="49"/>
      <c r="T97" s="145" t="s">
        <v>136</v>
      </c>
      <c r="U97" s="49"/>
      <c r="V97" s="47"/>
      <c r="W97" s="49"/>
      <c r="X97" s="47"/>
      <c r="Y97" s="47">
        <v>6.4000000000000101</v>
      </c>
      <c r="Z97" s="47" t="s">
        <v>245</v>
      </c>
      <c r="AC97" s="4"/>
    </row>
    <row r="98" spans="1:29" hidden="1" x14ac:dyDescent="0.25">
      <c r="A98" s="47"/>
      <c r="B98" s="47"/>
      <c r="C98" s="48"/>
      <c r="D98" s="47"/>
      <c r="E98" s="49"/>
      <c r="F98" s="47"/>
      <c r="G98" s="49"/>
      <c r="H98" s="50"/>
      <c r="I98" s="49"/>
      <c r="J98" s="47"/>
      <c r="K98" s="49"/>
      <c r="L98" s="145" t="s">
        <v>120</v>
      </c>
      <c r="M98" s="47" t="s">
        <v>24</v>
      </c>
      <c r="N98" s="47" t="s">
        <v>27</v>
      </c>
      <c r="O98" s="49"/>
      <c r="P98" s="47" t="s">
        <v>127</v>
      </c>
      <c r="Q98" s="49"/>
      <c r="R98" s="47"/>
      <c r="S98" s="49"/>
      <c r="T98" s="145" t="s">
        <v>137</v>
      </c>
      <c r="U98" s="49"/>
      <c r="V98" s="47"/>
      <c r="W98" s="49"/>
      <c r="X98" s="47"/>
      <c r="Y98" s="47">
        <v>6.3000000000000096</v>
      </c>
      <c r="Z98" s="47" t="s">
        <v>245</v>
      </c>
      <c r="AC98" s="4"/>
    </row>
    <row r="99" spans="1:29" hidden="1" x14ac:dyDescent="0.25">
      <c r="A99" s="47"/>
      <c r="B99" s="47"/>
      <c r="C99" s="48"/>
      <c r="D99" s="47"/>
      <c r="E99" s="49"/>
      <c r="F99" s="47"/>
      <c r="G99" s="49"/>
      <c r="H99" s="50"/>
      <c r="I99" s="49"/>
      <c r="J99" s="47"/>
      <c r="K99" s="49"/>
      <c r="L99" s="145" t="s">
        <v>45</v>
      </c>
      <c r="M99" s="47" t="s">
        <v>25</v>
      </c>
      <c r="N99" s="47" t="s">
        <v>145</v>
      </c>
      <c r="O99" s="49"/>
      <c r="P99" s="47" t="s">
        <v>128</v>
      </c>
      <c r="Q99" s="49"/>
      <c r="R99" s="47"/>
      <c r="S99" s="49"/>
      <c r="T99" s="148" t="s">
        <v>145</v>
      </c>
      <c r="U99" s="49"/>
      <c r="V99" s="47"/>
      <c r="W99" s="49"/>
      <c r="X99" s="47"/>
      <c r="Y99" s="47">
        <v>6.2000000000000099</v>
      </c>
      <c r="Z99" s="47" t="s">
        <v>245</v>
      </c>
      <c r="AC99" s="4"/>
    </row>
    <row r="100" spans="1:29" hidden="1" x14ac:dyDescent="0.25">
      <c r="A100" s="47"/>
      <c r="B100" s="47"/>
      <c r="C100" s="48"/>
      <c r="D100" s="47"/>
      <c r="E100" s="49"/>
      <c r="F100" s="47"/>
      <c r="G100" s="49"/>
      <c r="H100" s="50"/>
      <c r="I100" s="49"/>
      <c r="J100" s="47"/>
      <c r="K100" s="49"/>
      <c r="L100" s="47" t="s">
        <v>46</v>
      </c>
      <c r="M100" s="148" t="s">
        <v>145</v>
      </c>
      <c r="N100" s="47"/>
      <c r="O100" s="49"/>
      <c r="P100" s="47" t="s">
        <v>129</v>
      </c>
      <c r="Q100" s="49"/>
      <c r="R100" s="47"/>
      <c r="S100" s="49"/>
      <c r="T100" s="47"/>
      <c r="U100" s="49"/>
      <c r="V100" s="47"/>
      <c r="W100" s="49"/>
      <c r="X100" s="47"/>
      <c r="Y100" s="47">
        <v>6.1000000000000103</v>
      </c>
      <c r="Z100" s="47" t="s">
        <v>245</v>
      </c>
      <c r="AC100" s="4"/>
    </row>
    <row r="101" spans="1:29" hidden="1" x14ac:dyDescent="0.25">
      <c r="A101" s="47"/>
      <c r="B101" s="47"/>
      <c r="C101" s="48"/>
      <c r="D101" s="47"/>
      <c r="E101" s="49"/>
      <c r="F101" s="47"/>
      <c r="G101" s="49"/>
      <c r="H101" s="50"/>
      <c r="I101" s="49"/>
      <c r="J101" s="47"/>
      <c r="K101" s="49"/>
      <c r="L101" s="47" t="s">
        <v>49</v>
      </c>
      <c r="M101" s="49"/>
      <c r="N101" s="47"/>
      <c r="O101" s="49"/>
      <c r="P101" s="47" t="s">
        <v>130</v>
      </c>
      <c r="Q101" s="49"/>
      <c r="R101" s="47"/>
      <c r="S101" s="49"/>
      <c r="T101" s="47"/>
      <c r="U101" s="49"/>
      <c r="V101" s="47"/>
      <c r="W101" s="49"/>
      <c r="X101" s="47"/>
      <c r="Y101" s="47">
        <v>6.0000000000000098</v>
      </c>
      <c r="Z101" s="47" t="s">
        <v>245</v>
      </c>
      <c r="AC101" s="4"/>
    </row>
    <row r="102" spans="1:29" hidden="1" x14ac:dyDescent="0.25">
      <c r="A102" s="47"/>
      <c r="B102" s="47"/>
      <c r="C102" s="48"/>
      <c r="D102" s="47"/>
      <c r="E102" s="49"/>
      <c r="F102" s="47"/>
      <c r="G102" s="49"/>
      <c r="H102" s="50"/>
      <c r="I102" s="49"/>
      <c r="J102" s="47"/>
      <c r="K102" s="49"/>
      <c r="L102" s="47" t="s">
        <v>47</v>
      </c>
      <c r="M102" s="49"/>
      <c r="N102" s="47"/>
      <c r="O102" s="49"/>
      <c r="P102" s="47" t="s">
        <v>145</v>
      </c>
      <c r="Q102" s="49"/>
      <c r="R102" s="47"/>
      <c r="S102" s="49"/>
      <c r="T102" s="47"/>
      <c r="U102" s="49"/>
      <c r="V102" s="47"/>
      <c r="W102" s="49"/>
      <c r="X102" s="47"/>
      <c r="Y102" s="47">
        <v>5.9000000000000101</v>
      </c>
      <c r="Z102" s="47" t="s">
        <v>254</v>
      </c>
      <c r="AC102" s="4"/>
    </row>
    <row r="103" spans="1:29" hidden="1" x14ac:dyDescent="0.25">
      <c r="A103" s="47"/>
      <c r="B103" s="47"/>
      <c r="C103" s="48"/>
      <c r="D103" s="47"/>
      <c r="E103" s="49"/>
      <c r="F103" s="47"/>
      <c r="G103" s="49"/>
      <c r="H103" s="50"/>
      <c r="I103" s="49"/>
      <c r="J103" s="47"/>
      <c r="K103" s="49"/>
      <c r="L103" s="47" t="s">
        <v>48</v>
      </c>
      <c r="M103" s="49"/>
      <c r="N103" s="47"/>
      <c r="O103" s="49"/>
      <c r="P103" s="47"/>
      <c r="Q103" s="49"/>
      <c r="R103" s="47"/>
      <c r="S103" s="49"/>
      <c r="T103" s="47"/>
      <c r="U103" s="49"/>
      <c r="V103" s="47"/>
      <c r="W103" s="49"/>
      <c r="X103" s="47"/>
      <c r="Y103" s="47">
        <v>5.8000000000000096</v>
      </c>
      <c r="Z103" s="47" t="s">
        <v>254</v>
      </c>
      <c r="AC103" s="4"/>
    </row>
    <row r="104" spans="1:29" hidden="1" x14ac:dyDescent="0.25">
      <c r="A104" s="47"/>
      <c r="B104" s="47"/>
      <c r="C104" s="48"/>
      <c r="D104" s="47"/>
      <c r="E104" s="49"/>
      <c r="F104" s="47"/>
      <c r="G104" s="49"/>
      <c r="H104" s="50"/>
      <c r="I104" s="49"/>
      <c r="J104" s="47"/>
      <c r="K104" s="49"/>
      <c r="L104" s="47" t="s">
        <v>121</v>
      </c>
      <c r="M104" s="49"/>
      <c r="N104" s="47"/>
      <c r="O104" s="49"/>
      <c r="P104" s="47"/>
      <c r="Q104" s="49"/>
      <c r="R104" s="47"/>
      <c r="S104" s="49"/>
      <c r="T104" s="47"/>
      <c r="U104" s="49"/>
      <c r="V104" s="47"/>
      <c r="W104" s="49"/>
      <c r="X104" s="47"/>
      <c r="Y104" s="47">
        <v>5.7000000000000197</v>
      </c>
      <c r="Z104" s="47" t="s">
        <v>254</v>
      </c>
      <c r="AC104" s="4"/>
    </row>
    <row r="105" spans="1:29" hidden="1" x14ac:dyDescent="0.25">
      <c r="A105" s="47"/>
      <c r="B105" s="47"/>
      <c r="C105" s="48"/>
      <c r="D105" s="47"/>
      <c r="E105" s="49"/>
      <c r="F105" s="47"/>
      <c r="G105" s="49"/>
      <c r="H105" s="50"/>
      <c r="I105" s="49"/>
      <c r="J105" s="47"/>
      <c r="K105" s="49"/>
      <c r="L105" s="148" t="s">
        <v>145</v>
      </c>
      <c r="M105" s="49"/>
      <c r="N105" s="47"/>
      <c r="O105" s="49"/>
      <c r="P105" s="47"/>
      <c r="Q105" s="49"/>
      <c r="R105" s="47"/>
      <c r="S105" s="48"/>
      <c r="T105" s="47"/>
      <c r="U105" s="49"/>
      <c r="V105" s="47"/>
      <c r="W105" s="49"/>
      <c r="X105" s="47"/>
      <c r="Y105" s="47">
        <v>5.6000000000000201</v>
      </c>
      <c r="Z105" s="47" t="s">
        <v>254</v>
      </c>
      <c r="AC105" s="4"/>
    </row>
    <row r="106" spans="1:29" hidden="1" x14ac:dyDescent="0.25">
      <c r="A106" s="47"/>
      <c r="B106" s="47"/>
      <c r="C106" s="48"/>
      <c r="D106" s="47"/>
      <c r="E106" s="49"/>
      <c r="F106" s="47"/>
      <c r="G106" s="49"/>
      <c r="H106" s="50"/>
      <c r="I106" s="49"/>
      <c r="J106" s="47"/>
      <c r="K106" s="49"/>
      <c r="L106" s="47"/>
      <c r="M106" s="49"/>
      <c r="N106" s="47"/>
      <c r="O106" s="49"/>
      <c r="P106" s="47"/>
      <c r="Q106" s="49"/>
      <c r="R106" s="47"/>
      <c r="S106" s="48"/>
      <c r="T106" s="47"/>
      <c r="U106" s="49"/>
      <c r="V106" s="47"/>
      <c r="W106" s="49"/>
      <c r="X106" s="47"/>
      <c r="Y106" s="47">
        <v>5.5000000000000204</v>
      </c>
      <c r="Z106" s="47" t="s">
        <v>254</v>
      </c>
      <c r="AC106" s="4"/>
    </row>
    <row r="107" spans="1:29" hidden="1" x14ac:dyDescent="0.25">
      <c r="A107" s="47"/>
      <c r="B107" s="47"/>
      <c r="C107" s="48"/>
      <c r="D107" s="47"/>
      <c r="E107" s="49"/>
      <c r="F107" s="47"/>
      <c r="G107" s="49"/>
      <c r="H107" s="50"/>
      <c r="I107" s="49"/>
      <c r="J107" s="47"/>
      <c r="K107" s="49"/>
      <c r="L107" s="47"/>
      <c r="M107" s="49"/>
      <c r="N107" s="47"/>
      <c r="O107" s="49"/>
      <c r="P107" s="47"/>
      <c r="Q107" s="49"/>
      <c r="R107" s="47"/>
      <c r="S107" s="48"/>
      <c r="T107" s="47"/>
      <c r="U107" s="49"/>
      <c r="V107" s="47"/>
      <c r="W107" s="49"/>
      <c r="X107" s="47"/>
      <c r="Y107" s="47">
        <v>5.4000000000000199</v>
      </c>
      <c r="Z107" s="47" t="s">
        <v>254</v>
      </c>
      <c r="AC107" s="4"/>
    </row>
    <row r="108" spans="1:29" x14ac:dyDescent="0.25">
      <c r="A108" s="152"/>
      <c r="B108" s="152"/>
      <c r="C108" s="153"/>
      <c r="D108" s="152"/>
      <c r="E108" s="154"/>
      <c r="F108" s="152"/>
      <c r="G108" s="154"/>
      <c r="H108" s="155" t="s">
        <v>271</v>
      </c>
      <c r="I108" s="154"/>
      <c r="J108" s="152"/>
      <c r="K108" s="154"/>
      <c r="L108" s="152"/>
      <c r="M108" s="154"/>
      <c r="N108" s="152"/>
      <c r="O108" s="154"/>
      <c r="P108" s="152"/>
      <c r="Q108" s="154"/>
      <c r="R108" s="152"/>
      <c r="Y108" s="2">
        <v>5.3000000000000203</v>
      </c>
      <c r="Z108" s="47" t="s">
        <v>254</v>
      </c>
      <c r="AC108" s="4"/>
    </row>
    <row r="109" spans="1:29" x14ac:dyDescent="0.25">
      <c r="A109" s="47"/>
      <c r="B109" s="47"/>
      <c r="C109" s="48"/>
      <c r="D109" s="47"/>
      <c r="E109" s="49"/>
      <c r="F109" s="47"/>
      <c r="G109" s="49"/>
      <c r="H109" s="50"/>
      <c r="I109" s="49"/>
      <c r="J109" s="47"/>
      <c r="K109" s="49"/>
      <c r="L109" s="47"/>
      <c r="M109" s="49"/>
      <c r="N109" s="47"/>
      <c r="O109" s="49"/>
      <c r="P109" s="47"/>
      <c r="Q109" s="49"/>
      <c r="R109" s="47"/>
      <c r="Y109" s="2">
        <v>5.2000000000000197</v>
      </c>
      <c r="Z109" s="47" t="s">
        <v>254</v>
      </c>
      <c r="AC109" s="4"/>
    </row>
    <row r="110" spans="1:29" x14ac:dyDescent="0.25">
      <c r="A110" s="47"/>
      <c r="B110" s="64"/>
      <c r="C110" s="49"/>
      <c r="D110" s="47"/>
      <c r="E110" s="49"/>
      <c r="F110" s="47"/>
      <c r="G110" s="49"/>
      <c r="H110" s="47"/>
      <c r="I110" s="64" t="s">
        <v>170</v>
      </c>
      <c r="J110" s="202">
        <v>359000</v>
      </c>
      <c r="K110" s="49"/>
      <c r="L110" s="47"/>
      <c r="M110" s="64" t="s">
        <v>170</v>
      </c>
      <c r="N110" s="202">
        <v>450000</v>
      </c>
      <c r="O110" s="49"/>
      <c r="P110" s="47"/>
      <c r="Q110" s="64" t="s">
        <v>170</v>
      </c>
      <c r="R110" s="202">
        <v>460000</v>
      </c>
      <c r="Y110" s="2">
        <v>5.1000000000000201</v>
      </c>
      <c r="Z110" s="47" t="s">
        <v>254</v>
      </c>
    </row>
    <row r="111" spans="1:29" ht="15.75" thickBot="1" x14ac:dyDescent="0.3">
      <c r="A111" s="47"/>
      <c r="B111" s="64"/>
      <c r="C111" s="48"/>
      <c r="D111" s="47"/>
      <c r="E111" s="49"/>
      <c r="F111" s="47"/>
      <c r="G111" s="49"/>
      <c r="H111" s="47"/>
      <c r="I111" s="64" t="s">
        <v>168</v>
      </c>
      <c r="J111" s="203">
        <v>0.95</v>
      </c>
      <c r="K111" s="49"/>
      <c r="L111" s="47"/>
      <c r="M111" s="64" t="s">
        <v>168</v>
      </c>
      <c r="N111" s="203">
        <v>0.95</v>
      </c>
      <c r="O111" s="49"/>
      <c r="P111" s="47"/>
      <c r="Q111" s="64" t="s">
        <v>168</v>
      </c>
      <c r="R111" s="203">
        <v>0.95</v>
      </c>
      <c r="S111" s="2"/>
      <c r="T111" s="4"/>
      <c r="Y111" s="2">
        <v>5.0000000000000204</v>
      </c>
      <c r="Z111" s="47" t="s">
        <v>254</v>
      </c>
    </row>
    <row r="112" spans="1:29" ht="15.75" thickTop="1" x14ac:dyDescent="0.25">
      <c r="A112" s="47"/>
      <c r="B112" s="156" t="s">
        <v>169</v>
      </c>
      <c r="C112" s="158" t="s">
        <v>171</v>
      </c>
      <c r="D112" s="47"/>
      <c r="H112" s="47"/>
      <c r="I112" s="156" t="s">
        <v>169</v>
      </c>
      <c r="J112" s="48" t="s">
        <v>111</v>
      </c>
      <c r="K112" s="49"/>
      <c r="L112" s="47"/>
      <c r="M112" s="156" t="s">
        <v>169</v>
      </c>
      <c r="N112" s="48" t="s">
        <v>111</v>
      </c>
      <c r="O112" s="49"/>
      <c r="P112" s="47"/>
      <c r="Q112" s="156" t="s">
        <v>169</v>
      </c>
      <c r="R112" s="48" t="s">
        <v>111</v>
      </c>
    </row>
    <row r="113" spans="1:30" ht="15.75" thickBot="1" x14ac:dyDescent="0.3">
      <c r="A113" s="157" t="s">
        <v>82</v>
      </c>
      <c r="B113" s="205">
        <v>2006</v>
      </c>
      <c r="C113" s="159">
        <f>C158</f>
        <v>388303.19855159929</v>
      </c>
      <c r="D113" s="47"/>
      <c r="H113" s="157" t="s">
        <v>264</v>
      </c>
      <c r="I113" s="205">
        <v>2006</v>
      </c>
      <c r="J113" s="204">
        <f>J110*J111</f>
        <v>341050</v>
      </c>
      <c r="K113" s="49"/>
      <c r="L113" s="157" t="s">
        <v>265</v>
      </c>
      <c r="M113" s="205">
        <v>2007</v>
      </c>
      <c r="N113" s="204">
        <f>N110*N111</f>
        <v>427500</v>
      </c>
      <c r="O113" s="49"/>
      <c r="P113" s="157" t="s">
        <v>266</v>
      </c>
      <c r="Q113" s="205">
        <v>2005</v>
      </c>
      <c r="R113" s="204">
        <f>R110*R111</f>
        <v>437000</v>
      </c>
    </row>
    <row r="114" spans="1:30" ht="15.75" thickTop="1" x14ac:dyDescent="0.25">
      <c r="A114" s="47" t="s">
        <v>167</v>
      </c>
      <c r="B114" s="160"/>
      <c r="C114" s="48"/>
      <c r="D114" s="47"/>
      <c r="E114" s="49"/>
      <c r="F114" s="47"/>
      <c r="G114" s="49"/>
      <c r="H114" s="47"/>
      <c r="I114" s="160"/>
      <c r="J114" s="48"/>
      <c r="K114" s="49"/>
      <c r="L114" s="47"/>
      <c r="M114" s="160"/>
      <c r="N114" s="48"/>
      <c r="O114" s="49"/>
      <c r="P114" s="47"/>
      <c r="Q114" s="160"/>
      <c r="R114" s="48"/>
      <c r="U114" s="2"/>
      <c r="V114" s="4"/>
      <c r="W114" s="2"/>
      <c r="X114" s="4"/>
    </row>
    <row r="115" spans="1:30" x14ac:dyDescent="0.25">
      <c r="A115" s="47" t="s">
        <v>55</v>
      </c>
      <c r="B115" s="161">
        <f>C30</f>
        <v>12</v>
      </c>
      <c r="C115" s="48"/>
      <c r="D115" s="47"/>
      <c r="E115" s="49"/>
      <c r="F115" s="47"/>
      <c r="G115" s="49"/>
      <c r="H115" s="47"/>
      <c r="I115" s="161"/>
      <c r="J115" s="48"/>
      <c r="K115" s="49"/>
      <c r="L115" s="47"/>
      <c r="M115" s="161"/>
      <c r="N115" s="48"/>
      <c r="O115" s="49"/>
      <c r="P115" s="47"/>
      <c r="Q115" s="161"/>
      <c r="R115" s="48"/>
    </row>
    <row r="116" spans="1:30" x14ac:dyDescent="0.25">
      <c r="A116" s="47" t="s">
        <v>56</v>
      </c>
      <c r="B116" s="162">
        <f>C14/B115</f>
        <v>6.6666666666666666E-2</v>
      </c>
      <c r="C116" s="48"/>
      <c r="D116" s="47"/>
      <c r="E116" s="49"/>
      <c r="F116" s="47"/>
      <c r="G116" s="49"/>
      <c r="H116" s="47"/>
      <c r="I116" s="162"/>
      <c r="J116" s="48"/>
      <c r="K116" s="49"/>
      <c r="L116" s="47"/>
      <c r="M116" s="162"/>
      <c r="N116" s="48"/>
      <c r="O116" s="49"/>
      <c r="P116" s="47"/>
      <c r="Q116" s="162"/>
      <c r="R116" s="48"/>
      <c r="Z116" s="3"/>
      <c r="AA116" s="2"/>
      <c r="AB116" s="4"/>
    </row>
    <row r="117" spans="1:30" x14ac:dyDescent="0.25">
      <c r="A117" s="47" t="s">
        <v>57</v>
      </c>
      <c r="B117" s="163">
        <f>IFERROR((B118-B119),"0.00")</f>
        <v>0</v>
      </c>
      <c r="C117" s="48"/>
      <c r="D117" s="47"/>
      <c r="E117" s="49"/>
      <c r="F117" s="47"/>
      <c r="G117" s="49"/>
      <c r="H117" s="47"/>
      <c r="I117" s="164"/>
      <c r="J117" s="48"/>
      <c r="K117" s="49"/>
      <c r="L117" s="47"/>
      <c r="M117" s="164"/>
      <c r="N117" s="48"/>
      <c r="O117" s="49"/>
      <c r="P117" s="47"/>
      <c r="Q117" s="164"/>
      <c r="R117" s="48"/>
    </row>
    <row r="118" spans="1:30" x14ac:dyDescent="0.25">
      <c r="A118" s="47" t="s">
        <v>53</v>
      </c>
      <c r="B118" s="165">
        <f>B113</f>
        <v>2006</v>
      </c>
      <c r="C118" s="141"/>
      <c r="D118" s="47"/>
      <c r="E118" s="49"/>
      <c r="F118" s="47"/>
      <c r="G118" s="49"/>
      <c r="H118" s="47"/>
      <c r="I118" s="166"/>
      <c r="J118" s="141"/>
      <c r="K118" s="49"/>
      <c r="L118" s="47"/>
      <c r="M118" s="166"/>
      <c r="N118" s="141"/>
      <c r="O118" s="49"/>
      <c r="P118" s="47"/>
      <c r="Q118" s="166"/>
      <c r="R118" s="141"/>
      <c r="AD118" s="3"/>
    </row>
    <row r="119" spans="1:30" x14ac:dyDescent="0.25">
      <c r="A119" s="47" t="s">
        <v>54</v>
      </c>
      <c r="B119" s="163">
        <f>IFERROR((F144),"0.00")</f>
        <v>2006</v>
      </c>
      <c r="C119" s="141"/>
      <c r="D119" s="47"/>
      <c r="E119" s="49"/>
      <c r="F119" s="47"/>
      <c r="G119" s="49"/>
      <c r="H119" s="47"/>
      <c r="I119" s="166"/>
      <c r="J119" s="141"/>
      <c r="K119" s="49"/>
      <c r="L119" s="47"/>
      <c r="M119" s="166"/>
      <c r="N119" s="141"/>
      <c r="O119" s="49"/>
      <c r="P119" s="47"/>
      <c r="Q119" s="166"/>
      <c r="R119" s="141"/>
    </row>
    <row r="120" spans="1:30" x14ac:dyDescent="0.25">
      <c r="A120" s="47"/>
      <c r="B120" s="163"/>
      <c r="C120" s="141"/>
      <c r="D120" s="47"/>
      <c r="E120" s="49"/>
      <c r="F120" s="47"/>
      <c r="G120" s="49"/>
      <c r="H120" s="47"/>
      <c r="I120" s="166"/>
      <c r="J120" s="141"/>
      <c r="K120" s="49"/>
      <c r="L120" s="47"/>
      <c r="M120" s="166"/>
      <c r="N120" s="141"/>
      <c r="O120" s="49"/>
      <c r="P120" s="47"/>
      <c r="Q120" s="166"/>
      <c r="R120" s="141"/>
    </row>
    <row r="121" spans="1:30" x14ac:dyDescent="0.25">
      <c r="A121" s="47" t="s">
        <v>110</v>
      </c>
      <c r="B121" s="47"/>
      <c r="C121" s="48"/>
      <c r="D121" s="47"/>
      <c r="E121" s="49"/>
      <c r="F121" s="47"/>
      <c r="G121" s="49"/>
      <c r="H121" s="47" t="s">
        <v>261</v>
      </c>
      <c r="I121" s="47"/>
      <c r="J121" s="48"/>
      <c r="K121" s="49"/>
      <c r="L121" s="47" t="s">
        <v>262</v>
      </c>
      <c r="M121" s="47"/>
      <c r="N121" s="48"/>
      <c r="O121" s="49"/>
      <c r="P121" s="47" t="s">
        <v>263</v>
      </c>
      <c r="Q121" s="47"/>
      <c r="R121" s="48"/>
    </row>
    <row r="122" spans="1:30" x14ac:dyDescent="0.25">
      <c r="A122" s="47" t="s">
        <v>268</v>
      </c>
      <c r="B122" s="206">
        <v>6000</v>
      </c>
      <c r="C122" s="48"/>
      <c r="D122" s="47"/>
      <c r="H122" s="47" t="s">
        <v>268</v>
      </c>
      <c r="I122" s="206">
        <v>6000</v>
      </c>
      <c r="J122" s="48"/>
      <c r="K122" s="49"/>
      <c r="L122" s="47" t="s">
        <v>268</v>
      </c>
      <c r="M122" s="206">
        <v>6000</v>
      </c>
      <c r="N122" s="48"/>
      <c r="O122" s="50"/>
      <c r="P122" s="47" t="s">
        <v>268</v>
      </c>
      <c r="Q122" s="206">
        <v>6000</v>
      </c>
      <c r="R122" s="48"/>
    </row>
    <row r="123" spans="1:30" x14ac:dyDescent="0.25">
      <c r="A123" s="47" t="s">
        <v>107</v>
      </c>
      <c r="B123" s="48" t="s">
        <v>108</v>
      </c>
      <c r="C123" s="48" t="s">
        <v>109</v>
      </c>
      <c r="D123" s="47"/>
      <c r="H123" s="47" t="s">
        <v>107</v>
      </c>
      <c r="I123" s="48" t="s">
        <v>108</v>
      </c>
      <c r="J123" s="48" t="s">
        <v>109</v>
      </c>
      <c r="K123" s="49"/>
      <c r="L123" s="47" t="s">
        <v>107</v>
      </c>
      <c r="M123" s="48" t="s">
        <v>108</v>
      </c>
      <c r="N123" s="48" t="s">
        <v>109</v>
      </c>
      <c r="O123" s="49"/>
      <c r="P123" s="47" t="s">
        <v>107</v>
      </c>
      <c r="Q123" s="48" t="s">
        <v>108</v>
      </c>
      <c r="R123" s="48" t="s">
        <v>109</v>
      </c>
    </row>
    <row r="124" spans="1:30" x14ac:dyDescent="0.25">
      <c r="A124" s="47">
        <f>SUM(A125:A134)</f>
        <v>10</v>
      </c>
      <c r="B124" s="167">
        <f>AVERAGEIF(B125:B134,"&lt;&gt;0%")</f>
        <v>1</v>
      </c>
      <c r="C124" s="168">
        <f>B124*B122*A124</f>
        <v>60000</v>
      </c>
      <c r="D124" s="47"/>
      <c r="H124" s="47">
        <f>SUM(H125:H134)</f>
        <v>10</v>
      </c>
      <c r="I124" s="167">
        <f>IFERROR(AVERAGEIF(I125:I134,"&lt;&gt;0%"),"0"%)</f>
        <v>0.97</v>
      </c>
      <c r="J124" s="168">
        <f>I124*I122*H124</f>
        <v>58200</v>
      </c>
      <c r="K124" s="49"/>
      <c r="L124" s="47">
        <f>SUM(L125:L134)</f>
        <v>10</v>
      </c>
      <c r="M124" s="167">
        <f>IFERROR(AVERAGEIF(M125:M134,"&lt;&gt;0%"),"0"%)</f>
        <v>1</v>
      </c>
      <c r="N124" s="168">
        <f>M124*M122*L124</f>
        <v>60000</v>
      </c>
      <c r="O124" s="49"/>
      <c r="P124" s="47">
        <f>SUM(P125:P134)</f>
        <v>10</v>
      </c>
      <c r="Q124" s="167">
        <f>IFERROR(AVERAGEIF(Q125:Q134,"&lt;&gt;0%"),"0"%)</f>
        <v>1</v>
      </c>
      <c r="R124" s="168">
        <f>Q124*Q122*P124</f>
        <v>60000</v>
      </c>
    </row>
    <row r="125" spans="1:30" x14ac:dyDescent="0.25">
      <c r="A125" s="207">
        <v>1</v>
      </c>
      <c r="B125" s="208">
        <v>0</v>
      </c>
      <c r="C125" s="47" t="str">
        <f>VLOOKUP(B125,$E$22:$F$31,2,FALSE)</f>
        <v>Sin Llanta</v>
      </c>
      <c r="D125" s="47"/>
      <c r="H125" s="207">
        <v>1</v>
      </c>
      <c r="I125" s="208">
        <v>1</v>
      </c>
      <c r="J125" s="47" t="str">
        <f>VLOOKUP(I125,$E$22:$F$31,2,FALSE)</f>
        <v>Nuevas</v>
      </c>
      <c r="K125" s="49"/>
      <c r="L125" s="207">
        <v>1</v>
      </c>
      <c r="M125" s="208">
        <v>1</v>
      </c>
      <c r="N125" s="47" t="str">
        <f>VLOOKUP(M125,$E$22:$F$31,2,FALSE)</f>
        <v>Nuevas</v>
      </c>
      <c r="O125" s="49"/>
      <c r="P125" s="207">
        <v>1</v>
      </c>
      <c r="Q125" s="208">
        <v>1</v>
      </c>
      <c r="R125" s="47" t="str">
        <f>VLOOKUP(Q125,$E$22:$F$31,2,FALSE)</f>
        <v>Nuevas</v>
      </c>
    </row>
    <row r="126" spans="1:30" x14ac:dyDescent="0.25">
      <c r="A126" s="207">
        <v>1</v>
      </c>
      <c r="B126" s="208">
        <v>1</v>
      </c>
      <c r="C126" s="47" t="str">
        <f t="shared" ref="C126:C134" si="10">VLOOKUP(B126,$E$22:$F$31,2,FALSE)</f>
        <v>Nuevas</v>
      </c>
      <c r="D126" s="47"/>
      <c r="H126" s="207">
        <v>1</v>
      </c>
      <c r="I126" s="208">
        <v>1</v>
      </c>
      <c r="J126" s="47" t="str">
        <f t="shared" ref="J126:J134" si="11">VLOOKUP(I126,$E$22:$F$31,2,FALSE)</f>
        <v>Nuevas</v>
      </c>
      <c r="K126" s="49"/>
      <c r="L126" s="207">
        <v>1</v>
      </c>
      <c r="M126" s="208">
        <v>1</v>
      </c>
      <c r="N126" s="47" t="str">
        <f t="shared" ref="N126:N134" si="12">VLOOKUP(M126,$E$22:$F$31,2,FALSE)</f>
        <v>Nuevas</v>
      </c>
      <c r="O126" s="49"/>
      <c r="P126" s="207">
        <v>1</v>
      </c>
      <c r="Q126" s="208">
        <v>1</v>
      </c>
      <c r="R126" s="47" t="str">
        <f t="shared" ref="R126:R134" si="13">VLOOKUP(Q126,$E$22:$F$31,2,FALSE)</f>
        <v>Nuevas</v>
      </c>
    </row>
    <row r="127" spans="1:30" x14ac:dyDescent="0.25">
      <c r="A127" s="207">
        <v>1</v>
      </c>
      <c r="B127" s="208">
        <v>1</v>
      </c>
      <c r="C127" s="47" t="str">
        <f t="shared" si="10"/>
        <v>Nuevas</v>
      </c>
      <c r="D127" s="47"/>
      <c r="H127" s="207">
        <v>1</v>
      </c>
      <c r="I127" s="208">
        <v>0.7</v>
      </c>
      <c r="J127" s="47" t="str">
        <f t="shared" si="11"/>
        <v>5/8 de vida</v>
      </c>
      <c r="K127" s="49"/>
      <c r="L127" s="207">
        <v>1</v>
      </c>
      <c r="M127" s="208">
        <v>1</v>
      </c>
      <c r="N127" s="47" t="str">
        <f t="shared" si="12"/>
        <v>Nuevas</v>
      </c>
      <c r="O127" s="49"/>
      <c r="P127" s="207">
        <v>1</v>
      </c>
      <c r="Q127" s="208">
        <v>1</v>
      </c>
      <c r="R127" s="47" t="str">
        <f t="shared" si="13"/>
        <v>Nuevas</v>
      </c>
    </row>
    <row r="128" spans="1:30" x14ac:dyDescent="0.25">
      <c r="A128" s="207">
        <v>1</v>
      </c>
      <c r="B128" s="208">
        <v>1</v>
      </c>
      <c r="C128" s="47" t="str">
        <f t="shared" si="10"/>
        <v>Nuevas</v>
      </c>
      <c r="D128" s="47"/>
      <c r="H128" s="207">
        <v>1</v>
      </c>
      <c r="I128" s="208">
        <v>1</v>
      </c>
      <c r="J128" s="47" t="str">
        <f t="shared" si="11"/>
        <v>Nuevas</v>
      </c>
      <c r="K128" s="49"/>
      <c r="L128" s="207">
        <v>1</v>
      </c>
      <c r="M128" s="208">
        <v>1</v>
      </c>
      <c r="N128" s="47" t="str">
        <f t="shared" si="12"/>
        <v>Nuevas</v>
      </c>
      <c r="O128" s="49"/>
      <c r="P128" s="207">
        <v>1</v>
      </c>
      <c r="Q128" s="208">
        <v>1</v>
      </c>
      <c r="R128" s="47" t="str">
        <f t="shared" si="13"/>
        <v>Nuevas</v>
      </c>
    </row>
    <row r="129" spans="1:18" x14ac:dyDescent="0.25">
      <c r="A129" s="207">
        <v>1</v>
      </c>
      <c r="B129" s="208">
        <v>1</v>
      </c>
      <c r="C129" s="47" t="str">
        <f t="shared" si="10"/>
        <v>Nuevas</v>
      </c>
      <c r="D129" s="47"/>
      <c r="H129" s="207">
        <v>1</v>
      </c>
      <c r="I129" s="208">
        <v>1</v>
      </c>
      <c r="J129" s="47" t="str">
        <f t="shared" si="11"/>
        <v>Nuevas</v>
      </c>
      <c r="K129" s="49"/>
      <c r="L129" s="207">
        <v>1</v>
      </c>
      <c r="M129" s="208">
        <v>1</v>
      </c>
      <c r="N129" s="47" t="str">
        <f t="shared" si="12"/>
        <v>Nuevas</v>
      </c>
      <c r="O129" s="49"/>
      <c r="P129" s="207">
        <v>1</v>
      </c>
      <c r="Q129" s="208">
        <v>1</v>
      </c>
      <c r="R129" s="47" t="str">
        <f t="shared" si="13"/>
        <v>Nuevas</v>
      </c>
    </row>
    <row r="130" spans="1:18" x14ac:dyDescent="0.25">
      <c r="A130" s="207">
        <v>1</v>
      </c>
      <c r="B130" s="208">
        <v>1</v>
      </c>
      <c r="C130" s="47" t="str">
        <f t="shared" si="10"/>
        <v>Nuevas</v>
      </c>
      <c r="D130" s="47"/>
      <c r="H130" s="207">
        <v>1</v>
      </c>
      <c r="I130" s="208">
        <v>1</v>
      </c>
      <c r="J130" s="47" t="str">
        <f t="shared" si="11"/>
        <v>Nuevas</v>
      </c>
      <c r="K130" s="49"/>
      <c r="L130" s="207">
        <v>1</v>
      </c>
      <c r="M130" s="208">
        <v>1</v>
      </c>
      <c r="N130" s="47" t="str">
        <f t="shared" si="12"/>
        <v>Nuevas</v>
      </c>
      <c r="O130" s="49"/>
      <c r="P130" s="207">
        <v>1</v>
      </c>
      <c r="Q130" s="208">
        <v>1</v>
      </c>
      <c r="R130" s="47" t="str">
        <f t="shared" si="13"/>
        <v>Nuevas</v>
      </c>
    </row>
    <row r="131" spans="1:18" x14ac:dyDescent="0.25">
      <c r="A131" s="207">
        <v>1</v>
      </c>
      <c r="B131" s="208">
        <v>1</v>
      </c>
      <c r="C131" s="47" t="str">
        <f t="shared" si="10"/>
        <v>Nuevas</v>
      </c>
      <c r="D131" s="47"/>
      <c r="H131" s="207">
        <v>1</v>
      </c>
      <c r="I131" s="208">
        <v>1</v>
      </c>
      <c r="J131" s="47" t="str">
        <f t="shared" si="11"/>
        <v>Nuevas</v>
      </c>
      <c r="K131" s="49"/>
      <c r="L131" s="207">
        <v>1</v>
      </c>
      <c r="M131" s="208">
        <v>1</v>
      </c>
      <c r="N131" s="47" t="str">
        <f t="shared" si="12"/>
        <v>Nuevas</v>
      </c>
      <c r="O131" s="49"/>
      <c r="P131" s="207">
        <v>1</v>
      </c>
      <c r="Q131" s="208">
        <v>1</v>
      </c>
      <c r="R131" s="47" t="str">
        <f t="shared" si="13"/>
        <v>Nuevas</v>
      </c>
    </row>
    <row r="132" spans="1:18" x14ac:dyDescent="0.25">
      <c r="A132" s="207">
        <v>1</v>
      </c>
      <c r="B132" s="208">
        <v>1</v>
      </c>
      <c r="C132" s="47" t="str">
        <f t="shared" si="10"/>
        <v>Nuevas</v>
      </c>
      <c r="D132" s="47"/>
      <c r="H132" s="207">
        <v>1</v>
      </c>
      <c r="I132" s="208">
        <v>1</v>
      </c>
      <c r="J132" s="47" t="str">
        <f t="shared" si="11"/>
        <v>Nuevas</v>
      </c>
      <c r="K132" s="49"/>
      <c r="L132" s="207">
        <v>1</v>
      </c>
      <c r="M132" s="208">
        <v>1</v>
      </c>
      <c r="N132" s="47" t="str">
        <f t="shared" si="12"/>
        <v>Nuevas</v>
      </c>
      <c r="O132" s="49"/>
      <c r="P132" s="207">
        <v>1</v>
      </c>
      <c r="Q132" s="208">
        <v>1</v>
      </c>
      <c r="R132" s="47" t="str">
        <f t="shared" si="13"/>
        <v>Nuevas</v>
      </c>
    </row>
    <row r="133" spans="1:18" x14ac:dyDescent="0.25">
      <c r="A133" s="207">
        <v>1</v>
      </c>
      <c r="B133" s="208">
        <v>1</v>
      </c>
      <c r="C133" s="47" t="str">
        <f t="shared" si="10"/>
        <v>Nuevas</v>
      </c>
      <c r="D133" s="47"/>
      <c r="H133" s="207">
        <v>1</v>
      </c>
      <c r="I133" s="208">
        <v>1</v>
      </c>
      <c r="J133" s="47" t="str">
        <f t="shared" si="11"/>
        <v>Nuevas</v>
      </c>
      <c r="K133" s="49"/>
      <c r="L133" s="207">
        <v>1</v>
      </c>
      <c r="M133" s="208">
        <v>1</v>
      </c>
      <c r="N133" s="47" t="str">
        <f t="shared" si="12"/>
        <v>Nuevas</v>
      </c>
      <c r="O133" s="49"/>
      <c r="P133" s="207">
        <v>1</v>
      </c>
      <c r="Q133" s="208">
        <v>1</v>
      </c>
      <c r="R133" s="47" t="str">
        <f t="shared" si="13"/>
        <v>Nuevas</v>
      </c>
    </row>
    <row r="134" spans="1:18" x14ac:dyDescent="0.25">
      <c r="A134" s="207">
        <v>1</v>
      </c>
      <c r="B134" s="208">
        <v>1</v>
      </c>
      <c r="C134" s="47" t="str">
        <f t="shared" si="10"/>
        <v>Nuevas</v>
      </c>
      <c r="D134" s="47"/>
      <c r="H134" s="207">
        <v>1</v>
      </c>
      <c r="I134" s="208">
        <v>1</v>
      </c>
      <c r="J134" s="47" t="str">
        <f t="shared" si="11"/>
        <v>Nuevas</v>
      </c>
      <c r="K134" s="49"/>
      <c r="L134" s="207">
        <v>1</v>
      </c>
      <c r="M134" s="208">
        <v>1</v>
      </c>
      <c r="N134" s="47" t="str">
        <f t="shared" si="12"/>
        <v>Nuevas</v>
      </c>
      <c r="O134" s="49"/>
      <c r="P134" s="207">
        <v>1</v>
      </c>
      <c r="Q134" s="208">
        <v>1</v>
      </c>
      <c r="R134" s="47" t="str">
        <f t="shared" si="13"/>
        <v>Nuevas</v>
      </c>
    </row>
    <row r="135" spans="1:18" ht="15.75" thickBot="1" x14ac:dyDescent="0.3">
      <c r="A135" s="47"/>
      <c r="B135" s="163"/>
      <c r="C135" s="141"/>
      <c r="D135" s="47"/>
      <c r="H135" s="47"/>
      <c r="I135" s="166"/>
      <c r="J135" s="141"/>
      <c r="K135" s="49"/>
      <c r="L135" s="47"/>
      <c r="M135" s="166"/>
      <c r="N135" s="141"/>
      <c r="O135" s="49"/>
      <c r="P135" s="47"/>
      <c r="Q135" s="166"/>
      <c r="R135" s="141"/>
    </row>
    <row r="136" spans="1:18" ht="15.75" thickTop="1" x14ac:dyDescent="0.25">
      <c r="A136" s="223" t="s">
        <v>235</v>
      </c>
      <c r="B136" s="224"/>
      <c r="C136" s="225"/>
      <c r="D136" s="47"/>
      <c r="E136" s="49" t="s">
        <v>150</v>
      </c>
      <c r="F136" s="169">
        <f>J124</f>
        <v>58200</v>
      </c>
      <c r="G136" s="49"/>
      <c r="H136" s="223" t="s">
        <v>236</v>
      </c>
      <c r="I136" s="224"/>
      <c r="J136" s="225"/>
      <c r="K136" s="49"/>
      <c r="L136" s="223" t="s">
        <v>237</v>
      </c>
      <c r="M136" s="224"/>
      <c r="N136" s="225"/>
      <c r="O136" s="49"/>
      <c r="P136" s="223" t="s">
        <v>238</v>
      </c>
      <c r="Q136" s="224"/>
      <c r="R136" s="225"/>
    </row>
    <row r="137" spans="1:18" ht="15.75" thickBot="1" x14ac:dyDescent="0.3">
      <c r="A137" s="226"/>
      <c r="B137" s="227"/>
      <c r="C137" s="228"/>
      <c r="D137" s="47"/>
      <c r="E137" s="49" t="s">
        <v>151</v>
      </c>
      <c r="F137" s="169">
        <f>N124</f>
        <v>60000</v>
      </c>
      <c r="G137" s="49"/>
      <c r="H137" s="226"/>
      <c r="I137" s="227"/>
      <c r="J137" s="228"/>
      <c r="K137" s="49"/>
      <c r="L137" s="226"/>
      <c r="M137" s="227"/>
      <c r="N137" s="228"/>
      <c r="O137" s="49"/>
      <c r="P137" s="226"/>
      <c r="Q137" s="227"/>
      <c r="R137" s="228"/>
    </row>
    <row r="138" spans="1:18" ht="17.25" thickTop="1" thickBot="1" x14ac:dyDescent="0.3">
      <c r="A138" s="170" t="s">
        <v>253</v>
      </c>
      <c r="B138" s="209" t="s">
        <v>240</v>
      </c>
      <c r="C138" s="173">
        <f>VLOOKUP(B138,$X$51:$Y$57,2,FALSE)</f>
        <v>10</v>
      </c>
      <c r="D138" s="47"/>
      <c r="E138" s="4" t="s">
        <v>152</v>
      </c>
      <c r="F138" s="15">
        <f>R124</f>
        <v>60000</v>
      </c>
      <c r="H138" s="170" t="s">
        <v>248</v>
      </c>
      <c r="I138" s="209" t="s">
        <v>240</v>
      </c>
      <c r="J138" s="173">
        <f>VLOOKUP(I138,$X$51:$Y$57,2,FALSE)</f>
        <v>10</v>
      </c>
      <c r="K138" s="49"/>
      <c r="L138" s="170" t="s">
        <v>248</v>
      </c>
      <c r="M138" s="209" t="s">
        <v>240</v>
      </c>
      <c r="N138" s="173">
        <f>VLOOKUP(M138,$X$51:$Y$57,2,FALSE)</f>
        <v>10</v>
      </c>
      <c r="O138" s="49"/>
      <c r="P138" s="170" t="s">
        <v>248</v>
      </c>
      <c r="Q138" s="209" t="s">
        <v>240</v>
      </c>
      <c r="R138" s="173">
        <f>VLOOKUP(Q138,$X$51:$Y$57,2,FALSE)</f>
        <v>10</v>
      </c>
    </row>
    <row r="139" spans="1:18" ht="16.5" thickBot="1" x14ac:dyDescent="0.3">
      <c r="A139" s="170" t="s">
        <v>84</v>
      </c>
      <c r="B139" s="210" t="s">
        <v>41</v>
      </c>
      <c r="C139" s="174">
        <f>VLOOKUP(B139,$V$42:$W$43,2,FALSE)</f>
        <v>0.2</v>
      </c>
      <c r="D139" s="47"/>
      <c r="E139" s="9" t="s">
        <v>153</v>
      </c>
      <c r="F139" s="19">
        <f>AVERAGEIF(F136:F138,"&lt;&gt;0",F136:F138)</f>
        <v>59400</v>
      </c>
      <c r="H139" s="170" t="s">
        <v>84</v>
      </c>
      <c r="I139" s="210" t="s">
        <v>41</v>
      </c>
      <c r="J139" s="174">
        <f>VLOOKUP(I139,$V$42:$W$43,2,FALSE)</f>
        <v>0.2</v>
      </c>
      <c r="K139" s="49"/>
      <c r="L139" s="170" t="s">
        <v>84</v>
      </c>
      <c r="M139" s="210" t="s">
        <v>41</v>
      </c>
      <c r="N139" s="174">
        <f>VLOOKUP(M139,$V$42:$W$43,2,FALSE)</f>
        <v>0.2</v>
      </c>
      <c r="O139" s="49"/>
      <c r="P139" s="170" t="s">
        <v>84</v>
      </c>
      <c r="Q139" s="210" t="s">
        <v>41</v>
      </c>
      <c r="R139" s="174">
        <f>VLOOKUP(Q139,$V$42:$W$43,2,FALSE)</f>
        <v>0.2</v>
      </c>
    </row>
    <row r="140" spans="1:18" ht="16.5" thickBot="1" x14ac:dyDescent="0.3">
      <c r="A140" s="170" t="s">
        <v>0</v>
      </c>
      <c r="B140" s="210" t="s">
        <v>1</v>
      </c>
      <c r="C140" s="175">
        <f>VLOOKUP(B140,$D$42:$E$63,2,FALSE)</f>
        <v>0.16976000000000002</v>
      </c>
      <c r="D140" s="47"/>
      <c r="H140" s="170" t="s">
        <v>0</v>
      </c>
      <c r="I140" s="210" t="s">
        <v>1</v>
      </c>
      <c r="J140" s="175">
        <f>VLOOKUP(I140,$D$42:$E$63,2,FALSE)</f>
        <v>0.16976000000000002</v>
      </c>
      <c r="K140" s="49"/>
      <c r="L140" s="170" t="s">
        <v>0</v>
      </c>
      <c r="M140" s="210" t="s">
        <v>1</v>
      </c>
      <c r="N140" s="175">
        <f>VLOOKUP(M140,$D$42:$E$63,2,FALSE)</f>
        <v>0.16976000000000002</v>
      </c>
      <c r="O140" s="49"/>
      <c r="P140" s="170" t="s">
        <v>0</v>
      </c>
      <c r="Q140" s="210" t="s">
        <v>1</v>
      </c>
      <c r="R140" s="175">
        <f>VLOOKUP(Q140,$D$42:$E$63,2,FALSE)</f>
        <v>0.16976000000000002</v>
      </c>
    </row>
    <row r="141" spans="1:18" ht="16.5" thickBot="1" x14ac:dyDescent="0.3">
      <c r="A141" s="170" t="s">
        <v>4</v>
      </c>
      <c r="B141" s="211" t="s">
        <v>44</v>
      </c>
      <c r="C141" s="175">
        <f>VLOOKUP(B141,$F$42:$G$63,2,FALSE)</f>
        <v>0.10288</v>
      </c>
      <c r="D141" s="47"/>
      <c r="E141" s="10" t="s">
        <v>154</v>
      </c>
      <c r="F141" s="13">
        <f>I113</f>
        <v>2006</v>
      </c>
      <c r="H141" s="170" t="s">
        <v>4</v>
      </c>
      <c r="I141" s="211" t="s">
        <v>44</v>
      </c>
      <c r="J141" s="175">
        <f>VLOOKUP(I141,$F$42:$G$63,2,FALSE)</f>
        <v>0.10288</v>
      </c>
      <c r="K141" s="49"/>
      <c r="L141" s="170" t="s">
        <v>4</v>
      </c>
      <c r="M141" s="212" t="s">
        <v>44</v>
      </c>
      <c r="N141" s="175">
        <f>VLOOKUP(M141,$F$42:$G$63,2,FALSE)</f>
        <v>0.10288</v>
      </c>
      <c r="O141" s="49"/>
      <c r="P141" s="170" t="s">
        <v>4</v>
      </c>
      <c r="Q141" s="211" t="s">
        <v>44</v>
      </c>
      <c r="R141" s="175">
        <f>VLOOKUP(Q141,$F$42:$G$63,2,FALSE)</f>
        <v>0.10288</v>
      </c>
    </row>
    <row r="142" spans="1:18" ht="16.5" thickBot="1" x14ac:dyDescent="0.3">
      <c r="A142" s="170" t="s">
        <v>17</v>
      </c>
      <c r="B142" s="211" t="s">
        <v>113</v>
      </c>
      <c r="C142" s="175">
        <f>VLOOKUP(B142,$H$42:$I$46,2,FALSE)</f>
        <v>0.16976000000000002</v>
      </c>
      <c r="D142" s="47"/>
      <c r="E142" s="10" t="s">
        <v>155</v>
      </c>
      <c r="F142" s="13">
        <f>M113</f>
        <v>2007</v>
      </c>
      <c r="H142" s="170" t="s">
        <v>17</v>
      </c>
      <c r="I142" s="211" t="s">
        <v>113</v>
      </c>
      <c r="J142" s="175">
        <f>VLOOKUP(I142,$H$42:$I$46,2,FALSE)</f>
        <v>0.16976000000000002</v>
      </c>
      <c r="K142" s="49"/>
      <c r="L142" s="170" t="s">
        <v>17</v>
      </c>
      <c r="M142" s="211" t="s">
        <v>113</v>
      </c>
      <c r="N142" s="175">
        <f>VLOOKUP(M142,$H$42:$I$46,2,FALSE)</f>
        <v>0.16976000000000002</v>
      </c>
      <c r="O142" s="49"/>
      <c r="P142" s="170" t="s">
        <v>17</v>
      </c>
      <c r="Q142" s="211" t="s">
        <v>113</v>
      </c>
      <c r="R142" s="175">
        <f>VLOOKUP(Q142,$H$42:$I$46,2,FALSE)</f>
        <v>0.16976000000000002</v>
      </c>
    </row>
    <row r="143" spans="1:18" ht="16.5" thickBot="1" x14ac:dyDescent="0.3">
      <c r="A143" s="170" t="s">
        <v>5</v>
      </c>
      <c r="B143" s="211" t="s">
        <v>18</v>
      </c>
      <c r="C143" s="175">
        <f>VLOOKUP(B143,$J$42:$K$64,2,FALSE)</f>
        <v>8.0000000000000016E-2</v>
      </c>
      <c r="D143" s="47"/>
      <c r="E143" s="10" t="s">
        <v>156</v>
      </c>
      <c r="F143" s="13">
        <f>Q113</f>
        <v>2005</v>
      </c>
      <c r="H143" s="170" t="s">
        <v>5</v>
      </c>
      <c r="I143" s="211" t="s">
        <v>18</v>
      </c>
      <c r="J143" s="175">
        <f>VLOOKUP(I143,$J$42:$K$64,2,FALSE)</f>
        <v>8.0000000000000016E-2</v>
      </c>
      <c r="K143" s="49"/>
      <c r="L143" s="170" t="s">
        <v>5</v>
      </c>
      <c r="M143" s="211" t="s">
        <v>18</v>
      </c>
      <c r="N143" s="175">
        <f>VLOOKUP(M143,$J$42:$K$64,2,FALSE)</f>
        <v>8.0000000000000016E-2</v>
      </c>
      <c r="O143" s="49"/>
      <c r="P143" s="170" t="s">
        <v>5</v>
      </c>
      <c r="Q143" s="211" t="s">
        <v>18</v>
      </c>
      <c r="R143" s="175">
        <f>VLOOKUP(Q143,$J$42:$K$64,2,FALSE)</f>
        <v>8.0000000000000016E-2</v>
      </c>
    </row>
    <row r="144" spans="1:18" ht="16.5" thickBot="1" x14ac:dyDescent="0.3">
      <c r="A144" s="170" t="s">
        <v>4</v>
      </c>
      <c r="B144" s="211" t="s">
        <v>20</v>
      </c>
      <c r="C144" s="175">
        <f>VLOOKUP(B144,$L$42:$M$64,2,FALSE)</f>
        <v>8.9760000000000006E-2</v>
      </c>
      <c r="D144" s="47"/>
      <c r="E144" s="11" t="s">
        <v>147</v>
      </c>
      <c r="F144" s="16">
        <f>AVERAGEIF(F141:F143,"&lt;&gt;0",F141:F143)</f>
        <v>2006</v>
      </c>
      <c r="H144" s="170" t="s">
        <v>4</v>
      </c>
      <c r="I144" s="211" t="s">
        <v>118</v>
      </c>
      <c r="J144" s="175">
        <f>VLOOKUP(I144,$L$42:$M$64,2,FALSE)</f>
        <v>8.0784000000000009E-2</v>
      </c>
      <c r="K144" s="49"/>
      <c r="L144" s="170" t="s">
        <v>4</v>
      </c>
      <c r="M144" s="211" t="s">
        <v>20</v>
      </c>
      <c r="N144" s="175">
        <f>VLOOKUP(M144,$L$42:$M$64,2,FALSE)</f>
        <v>8.9760000000000006E-2</v>
      </c>
      <c r="O144" s="49"/>
      <c r="P144" s="170" t="s">
        <v>4</v>
      </c>
      <c r="Q144" s="211" t="s">
        <v>20</v>
      </c>
      <c r="R144" s="175">
        <f>VLOOKUP(Q144,$L$42:$M$64,2,FALSE)</f>
        <v>8.9760000000000006E-2</v>
      </c>
    </row>
    <row r="145" spans="1:18" ht="16.5" thickBot="1" x14ac:dyDescent="0.3">
      <c r="A145" s="170" t="s">
        <v>6</v>
      </c>
      <c r="B145" s="212" t="s">
        <v>145</v>
      </c>
      <c r="C145" s="175">
        <f>VLOOKUP(B145,$N$42:$O$43,2,FALSE)</f>
        <v>0</v>
      </c>
      <c r="D145" s="47"/>
      <c r="E145" s="10"/>
      <c r="F145" s="13"/>
      <c r="H145" s="170" t="s">
        <v>6</v>
      </c>
      <c r="I145" s="212" t="s">
        <v>124</v>
      </c>
      <c r="J145" s="175">
        <f>VLOOKUP(I145,$N$42:$O$43,2,FALSE)</f>
        <v>4.0800000000000003E-2</v>
      </c>
      <c r="K145" s="49"/>
      <c r="L145" s="170" t="s">
        <v>6</v>
      </c>
      <c r="M145" s="212" t="s">
        <v>124</v>
      </c>
      <c r="N145" s="175">
        <f>VLOOKUP(M145,$N$42:$O$43,2,FALSE)</f>
        <v>4.0800000000000003E-2</v>
      </c>
      <c r="O145" s="49"/>
      <c r="P145" s="170" t="s">
        <v>6</v>
      </c>
      <c r="Q145" s="212" t="s">
        <v>124</v>
      </c>
      <c r="R145" s="175">
        <f>VLOOKUP(Q145,$N$42:$O$43,2,FALSE)</f>
        <v>4.0800000000000003E-2</v>
      </c>
    </row>
    <row r="146" spans="1:18" ht="16.5" thickBot="1" x14ac:dyDescent="0.3">
      <c r="A146" s="170" t="s">
        <v>7</v>
      </c>
      <c r="B146" s="211" t="s">
        <v>126</v>
      </c>
      <c r="C146" s="175">
        <f>VLOOKUP(B146,$P$42:$Q$50,2,FALSE)</f>
        <v>6.2960000000000002E-2</v>
      </c>
      <c r="D146" s="47"/>
      <c r="E146" s="10" t="s">
        <v>157</v>
      </c>
      <c r="F146" s="13">
        <f>J113</f>
        <v>341050</v>
      </c>
      <c r="H146" s="170" t="s">
        <v>7</v>
      </c>
      <c r="I146" s="211" t="s">
        <v>126</v>
      </c>
      <c r="J146" s="175">
        <f>VLOOKUP(I146,$P$42:$Q$50,2,FALSE)</f>
        <v>6.2960000000000002E-2</v>
      </c>
      <c r="K146" s="49"/>
      <c r="L146" s="170" t="s">
        <v>7</v>
      </c>
      <c r="M146" s="211" t="s">
        <v>126</v>
      </c>
      <c r="N146" s="175">
        <f>VLOOKUP(M146,$P$42:$Q$50,2,FALSE)</f>
        <v>6.2960000000000002E-2</v>
      </c>
      <c r="O146" s="49"/>
      <c r="P146" s="170" t="s">
        <v>7</v>
      </c>
      <c r="Q146" s="211" t="s">
        <v>126</v>
      </c>
      <c r="R146" s="175">
        <f>VLOOKUP(Q146,$P$42:$Q$50,2,FALSE)</f>
        <v>6.2960000000000002E-2</v>
      </c>
    </row>
    <row r="147" spans="1:18" ht="16.5" thickBot="1" x14ac:dyDescent="0.3">
      <c r="A147" s="170" t="s">
        <v>9</v>
      </c>
      <c r="B147" s="211" t="s">
        <v>15</v>
      </c>
      <c r="C147" s="175">
        <f>VLOOKUP(B147,$R$42:$S$45,2,FALSE)</f>
        <v>2.112E-2</v>
      </c>
      <c r="D147" s="47"/>
      <c r="E147" s="10" t="s">
        <v>158</v>
      </c>
      <c r="F147" s="13">
        <f>N113</f>
        <v>427500</v>
      </c>
      <c r="H147" s="170" t="s">
        <v>9</v>
      </c>
      <c r="I147" s="211" t="s">
        <v>13</v>
      </c>
      <c r="J147" s="175">
        <f>VLOOKUP(I147,$R$42:$S$45,2,FALSE)</f>
        <v>1.2672000000000001E-2</v>
      </c>
      <c r="K147" s="49"/>
      <c r="L147" s="170" t="s">
        <v>9</v>
      </c>
      <c r="M147" s="211" t="s">
        <v>15</v>
      </c>
      <c r="N147" s="175">
        <f>VLOOKUP(M147,$R$42:$S$45,2,FALSE)</f>
        <v>2.112E-2</v>
      </c>
      <c r="O147" s="49"/>
      <c r="P147" s="170" t="s">
        <v>9</v>
      </c>
      <c r="Q147" s="211" t="s">
        <v>15</v>
      </c>
      <c r="R147" s="175">
        <f>VLOOKUP(Q147,$R$42:$S$45,2,FALSE)</f>
        <v>2.112E-2</v>
      </c>
    </row>
    <row r="148" spans="1:18" ht="16.5" thickBot="1" x14ac:dyDescent="0.3">
      <c r="A148" s="170" t="s">
        <v>39</v>
      </c>
      <c r="B148" s="211" t="s">
        <v>133</v>
      </c>
      <c r="C148" s="175">
        <f>VLOOKUP(B148,$T$42:$U$47,2,FALSE)</f>
        <v>6.2960000000000002E-2</v>
      </c>
      <c r="D148" s="47"/>
      <c r="E148" s="10" t="s">
        <v>159</v>
      </c>
      <c r="F148" s="13">
        <f>R113</f>
        <v>437000</v>
      </c>
      <c r="H148" s="170" t="s">
        <v>39</v>
      </c>
      <c r="I148" s="211" t="s">
        <v>133</v>
      </c>
      <c r="J148" s="175">
        <f>VLOOKUP(I148,$T$42:$U$47,2,FALSE)</f>
        <v>6.2960000000000002E-2</v>
      </c>
      <c r="K148" s="49"/>
      <c r="L148" s="170" t="s">
        <v>39</v>
      </c>
      <c r="M148" s="211" t="s">
        <v>133</v>
      </c>
      <c r="N148" s="175">
        <f>VLOOKUP(M148,$T$42:$U$47,2,FALSE)</f>
        <v>6.2960000000000002E-2</v>
      </c>
      <c r="O148" s="49"/>
      <c r="P148" s="170" t="s">
        <v>39</v>
      </c>
      <c r="Q148" s="211" t="s">
        <v>133</v>
      </c>
      <c r="R148" s="175">
        <f>VLOOKUP(Q148,$T$42:$U$47,2,FALSE)</f>
        <v>6.2960000000000002E-2</v>
      </c>
    </row>
    <row r="149" spans="1:18" ht="16.5" thickBot="1" x14ac:dyDescent="0.3">
      <c r="A149" s="170"/>
      <c r="B149" s="172"/>
      <c r="C149" s="175"/>
      <c r="D149" s="47"/>
      <c r="E149" s="11" t="s">
        <v>148</v>
      </c>
      <c r="F149" s="16">
        <f>AVERAGEIF(F146:F148,"&lt;&gt;0",F146:F148)</f>
        <v>401850</v>
      </c>
      <c r="H149" s="170"/>
      <c r="I149" s="172"/>
      <c r="J149" s="175"/>
      <c r="K149" s="49"/>
      <c r="L149" s="170"/>
      <c r="M149" s="172"/>
      <c r="N149" s="175"/>
      <c r="O149" s="49"/>
      <c r="P149" s="170"/>
      <c r="Q149" s="172"/>
      <c r="R149" s="175"/>
    </row>
    <row r="150" spans="1:18" x14ac:dyDescent="0.25">
      <c r="A150" s="47" t="s">
        <v>50</v>
      </c>
      <c r="B150" s="47"/>
      <c r="C150" s="176">
        <f>ROUND(SUM(C139:C149),4)</f>
        <v>0.95920000000000005</v>
      </c>
      <c r="D150" s="47"/>
      <c r="E150" s="10"/>
      <c r="F150" s="13"/>
      <c r="H150" s="47" t="s">
        <v>50</v>
      </c>
      <c r="I150" s="47"/>
      <c r="J150" s="176">
        <f>ROUND(SUM(J139:J149),4)</f>
        <v>0.98260000000000003</v>
      </c>
      <c r="K150" s="49"/>
      <c r="L150" s="47" t="s">
        <v>50</v>
      </c>
      <c r="M150" s="47"/>
      <c r="N150" s="176">
        <f>ROUND(SUM(N139:N149),4)</f>
        <v>1</v>
      </c>
      <c r="O150" s="49"/>
      <c r="P150" s="47" t="s">
        <v>50</v>
      </c>
      <c r="Q150" s="47"/>
      <c r="R150" s="176">
        <f>ROUND(SUM(R139:R149),4)</f>
        <v>1</v>
      </c>
    </row>
    <row r="151" spans="1:18" x14ac:dyDescent="0.25">
      <c r="A151" s="171" t="s">
        <v>239</v>
      </c>
      <c r="B151" s="47"/>
      <c r="C151" s="177">
        <f>IFERROR((F149),"$               0.00")</f>
        <v>401850</v>
      </c>
      <c r="D151" s="47"/>
      <c r="E151" s="10" t="s">
        <v>160</v>
      </c>
      <c r="F151" s="14">
        <f>J150</f>
        <v>0.98260000000000003</v>
      </c>
      <c r="H151" s="171"/>
      <c r="I151" s="171"/>
      <c r="J151" s="190"/>
      <c r="K151" s="192"/>
      <c r="L151" s="171"/>
      <c r="M151" s="171"/>
      <c r="N151" s="190"/>
      <c r="O151" s="192"/>
      <c r="P151" s="171"/>
      <c r="Q151" s="171"/>
      <c r="R151" s="190"/>
    </row>
    <row r="152" spans="1:18" x14ac:dyDescent="0.25">
      <c r="A152" s="47" t="s">
        <v>93</v>
      </c>
      <c r="B152" s="47"/>
      <c r="C152" s="178">
        <f>IFERROR(((C150*100%)/F154),"0.00%")</f>
        <v>0.96479581573124118</v>
      </c>
      <c r="D152" s="47"/>
      <c r="E152" s="10" t="s">
        <v>161</v>
      </c>
      <c r="F152" s="14">
        <f>N150</f>
        <v>1</v>
      </c>
      <c r="H152" s="171" t="s">
        <v>255</v>
      </c>
      <c r="I152" s="171"/>
      <c r="J152" s="191" t="str">
        <f>VLOOKUP(F164,Y61:Z111,2,FALSE)</f>
        <v>Excelente</v>
      </c>
      <c r="K152" s="192"/>
      <c r="L152" s="171"/>
      <c r="M152" s="171"/>
      <c r="N152" s="191"/>
      <c r="O152" s="192"/>
      <c r="P152" s="171"/>
      <c r="Q152" s="171"/>
      <c r="R152" s="191"/>
    </row>
    <row r="153" spans="1:18" ht="15.75" thickBot="1" x14ac:dyDescent="0.3">
      <c r="A153" s="47" t="s">
        <v>272</v>
      </c>
      <c r="B153" s="47"/>
      <c r="C153" s="177">
        <f>C151*C152</f>
        <v>387703.19855159929</v>
      </c>
      <c r="D153" s="47"/>
      <c r="E153" s="10" t="s">
        <v>162</v>
      </c>
      <c r="F153" s="14">
        <f>R150</f>
        <v>1</v>
      </c>
      <c r="H153" s="171"/>
      <c r="I153" s="171"/>
      <c r="J153" s="190"/>
      <c r="K153" s="192"/>
      <c r="L153" s="171"/>
      <c r="M153" s="171"/>
      <c r="N153" s="190"/>
      <c r="O153" s="192"/>
      <c r="P153" s="171"/>
      <c r="Q153" s="171"/>
      <c r="R153" s="190"/>
    </row>
    <row r="154" spans="1:18" ht="16.5" thickTop="1" x14ac:dyDescent="0.25">
      <c r="A154" s="184" t="s">
        <v>58</v>
      </c>
      <c r="B154" s="185" t="s">
        <v>61</v>
      </c>
      <c r="C154" s="179">
        <f>1+(B117*B116)</f>
        <v>1</v>
      </c>
      <c r="D154" s="47"/>
      <c r="E154" s="11" t="s">
        <v>149</v>
      </c>
      <c r="F154" s="17">
        <f>AVERAGEIF(F151:F153,"&lt;&gt;0",F151:F153)</f>
        <v>0.99420000000000008</v>
      </c>
      <c r="H154" s="214" t="s">
        <v>234</v>
      </c>
      <c r="I154" s="214"/>
      <c r="J154" s="220">
        <f>ROUND(C158,-2)</f>
        <v>388300</v>
      </c>
      <c r="K154" s="220"/>
      <c r="L154" s="217" t="str">
        <f>Hoja2!H29</f>
        <v>TRESCIENTOS OCHENTA Y OCHO  MIL TRESCIENTOS  PESOS 00/100  M.N.</v>
      </c>
      <c r="M154" s="217"/>
      <c r="N154" s="217"/>
      <c r="O154" s="217"/>
      <c r="P154" s="217"/>
      <c r="Q154" s="217"/>
      <c r="R154" s="193"/>
    </row>
    <row r="155" spans="1:18" ht="16.5" thickBot="1" x14ac:dyDescent="0.3">
      <c r="A155" s="186" t="s">
        <v>59</v>
      </c>
      <c r="B155" s="8" t="s">
        <v>86</v>
      </c>
      <c r="C155" s="180">
        <f>VLOOKUP(B155,$B$22:$C$28,2,FALSE)</f>
        <v>1</v>
      </c>
      <c r="D155" s="47"/>
      <c r="H155" s="215"/>
      <c r="I155" s="215"/>
      <c r="J155" s="221"/>
      <c r="K155" s="221"/>
      <c r="L155" s="218"/>
      <c r="M155" s="218"/>
      <c r="N155" s="218"/>
      <c r="O155" s="218"/>
      <c r="P155" s="218"/>
      <c r="Q155" s="218"/>
      <c r="R155" s="193"/>
    </row>
    <row r="156" spans="1:18" ht="17.25" thickTop="1" thickBot="1" x14ac:dyDescent="0.3">
      <c r="A156" s="187" t="s">
        <v>112</v>
      </c>
      <c r="B156" s="47"/>
      <c r="C156" s="181">
        <f>IFERROR((C124-F139),"$                         0.00")</f>
        <v>600</v>
      </c>
      <c r="D156" s="47"/>
      <c r="E156" s="4" t="s">
        <v>163</v>
      </c>
      <c r="F156" s="12">
        <f>J160</f>
        <v>0</v>
      </c>
      <c r="H156" s="216"/>
      <c r="I156" s="216"/>
      <c r="J156" s="222"/>
      <c r="K156" s="222"/>
      <c r="L156" s="219"/>
      <c r="M156" s="219"/>
      <c r="N156" s="219"/>
      <c r="O156" s="219"/>
      <c r="P156" s="219"/>
      <c r="Q156" s="219"/>
      <c r="R156" s="193"/>
    </row>
    <row r="157" spans="1:18" ht="15.75" thickTop="1" x14ac:dyDescent="0.25">
      <c r="A157" s="188" t="s">
        <v>60</v>
      </c>
      <c r="B157" s="47"/>
      <c r="C157" s="182">
        <f>C160-F159</f>
        <v>0</v>
      </c>
      <c r="D157" s="47"/>
      <c r="E157" s="4" t="s">
        <v>164</v>
      </c>
      <c r="F157" s="12">
        <f>N160</f>
        <v>0</v>
      </c>
      <c r="H157" s="188"/>
      <c r="I157" s="171"/>
      <c r="J157" s="194"/>
      <c r="K157" s="192"/>
      <c r="L157" s="188"/>
      <c r="M157" s="171"/>
      <c r="N157" s="194"/>
      <c r="O157" s="192"/>
      <c r="P157" s="188"/>
      <c r="Q157" s="171"/>
      <c r="R157" s="194"/>
    </row>
    <row r="158" spans="1:18" x14ac:dyDescent="0.25">
      <c r="A158" s="189" t="s">
        <v>85</v>
      </c>
      <c r="B158" s="189"/>
      <c r="C158" s="183">
        <f>(C153*C154*C155)+C156+C157</f>
        <v>388303.19855159929</v>
      </c>
      <c r="D158" s="47"/>
      <c r="E158" s="4" t="s">
        <v>165</v>
      </c>
      <c r="F158" s="12">
        <f>R160</f>
        <v>0</v>
      </c>
      <c r="H158" s="197"/>
      <c r="I158" s="197"/>
      <c r="J158" s="195"/>
      <c r="K158" s="192"/>
      <c r="L158" s="197"/>
      <c r="M158" s="197"/>
      <c r="N158" s="195"/>
      <c r="O158" s="192"/>
      <c r="P158" s="197"/>
      <c r="Q158" s="197"/>
      <c r="R158" s="195"/>
    </row>
    <row r="159" spans="1:18" x14ac:dyDescent="0.25">
      <c r="A159" s="47"/>
      <c r="B159" s="47"/>
      <c r="C159" s="48"/>
      <c r="D159" s="47"/>
      <c r="E159" s="9" t="s">
        <v>166</v>
      </c>
      <c r="F159" s="18" t="str">
        <f>IFERROR(AVERAGEIF(F156:F158,"&lt;&gt;0",F156:F158),"$                0.00")</f>
        <v>$                0.00</v>
      </c>
      <c r="H159" s="47"/>
      <c r="I159" s="47"/>
      <c r="J159" s="48"/>
      <c r="K159" s="49"/>
      <c r="L159" s="47"/>
      <c r="M159" s="47"/>
      <c r="N159" s="48"/>
      <c r="O159" s="49"/>
      <c r="P159" s="47"/>
      <c r="Q159" s="47"/>
      <c r="R159" s="48"/>
    </row>
    <row r="160" spans="1:18" x14ac:dyDescent="0.25">
      <c r="A160" s="188" t="s">
        <v>257</v>
      </c>
      <c r="B160" s="47"/>
      <c r="C160" s="196">
        <f>SUM(C162:C183)</f>
        <v>0</v>
      </c>
      <c r="D160" s="47"/>
      <c r="H160" s="188" t="s">
        <v>258</v>
      </c>
      <c r="I160" s="47"/>
      <c r="J160" s="196">
        <f>SUM(J162:J183)</f>
        <v>0</v>
      </c>
      <c r="K160" s="49"/>
      <c r="L160" s="188" t="s">
        <v>259</v>
      </c>
      <c r="M160" s="47"/>
      <c r="N160" s="196">
        <f>SUM(N162:N183)</f>
        <v>0</v>
      </c>
      <c r="O160" s="49"/>
      <c r="P160" s="188" t="s">
        <v>260</v>
      </c>
      <c r="Q160" s="47"/>
      <c r="R160" s="196">
        <f>SUM(R162:R183)</f>
        <v>0</v>
      </c>
    </row>
    <row r="161" spans="1:27" x14ac:dyDescent="0.25">
      <c r="A161" s="47"/>
      <c r="B161" s="47"/>
      <c r="C161" s="48"/>
      <c r="D161" s="47"/>
      <c r="E161" s="46" t="s">
        <v>249</v>
      </c>
      <c r="F161" s="2">
        <f>J138</f>
        <v>10</v>
      </c>
      <c r="H161" s="47"/>
      <c r="I161" s="47"/>
      <c r="J161" s="48"/>
      <c r="K161" s="49"/>
      <c r="L161" s="47"/>
      <c r="M161" s="47"/>
      <c r="N161" s="48"/>
      <c r="O161" s="49"/>
      <c r="P161" s="47"/>
      <c r="Q161" s="47"/>
      <c r="R161" s="48"/>
    </row>
    <row r="162" spans="1:27" x14ac:dyDescent="0.25">
      <c r="A162" s="198" t="s">
        <v>62</v>
      </c>
      <c r="B162" s="47"/>
      <c r="C162" s="213">
        <v>0</v>
      </c>
      <c r="D162" s="47"/>
      <c r="E162" s="199" t="s">
        <v>250</v>
      </c>
      <c r="F162" s="47">
        <f>N138</f>
        <v>10</v>
      </c>
      <c r="G162" s="49"/>
      <c r="H162" s="198" t="s">
        <v>62</v>
      </c>
      <c r="I162" s="47"/>
      <c r="J162" s="213">
        <v>0</v>
      </c>
      <c r="K162" s="49"/>
      <c r="L162" s="198" t="s">
        <v>62</v>
      </c>
      <c r="M162" s="47"/>
      <c r="N162" s="213">
        <v>0</v>
      </c>
      <c r="O162" s="49"/>
      <c r="P162" s="198" t="s">
        <v>62</v>
      </c>
      <c r="Q162" s="47"/>
      <c r="R162" s="213">
        <v>0</v>
      </c>
    </row>
    <row r="163" spans="1:27" x14ac:dyDescent="0.25">
      <c r="A163" s="198" t="s">
        <v>270</v>
      </c>
      <c r="B163" s="47"/>
      <c r="C163" s="213">
        <v>0</v>
      </c>
      <c r="D163" s="47"/>
      <c r="E163" s="199" t="s">
        <v>251</v>
      </c>
      <c r="F163" s="47">
        <f>R138</f>
        <v>10</v>
      </c>
      <c r="G163" s="49"/>
      <c r="H163" s="198" t="s">
        <v>270</v>
      </c>
      <c r="I163" s="47"/>
      <c r="J163" s="213">
        <v>0</v>
      </c>
      <c r="K163" s="49"/>
      <c r="L163" s="198" t="s">
        <v>270</v>
      </c>
      <c r="M163" s="47"/>
      <c r="N163" s="213">
        <v>0</v>
      </c>
      <c r="O163" s="49"/>
      <c r="P163" s="198" t="s">
        <v>270</v>
      </c>
      <c r="Q163" s="47"/>
      <c r="R163" s="213">
        <v>0</v>
      </c>
    </row>
    <row r="164" spans="1:27" x14ac:dyDescent="0.25">
      <c r="A164" s="198" t="s">
        <v>63</v>
      </c>
      <c r="B164" s="47"/>
      <c r="C164" s="213">
        <v>0</v>
      </c>
      <c r="D164" s="47"/>
      <c r="E164" s="200" t="s">
        <v>252</v>
      </c>
      <c r="F164" s="47">
        <f>ROUND(AVERAGEIF(F161:F163,"&lt;&gt;0"),1)</f>
        <v>10</v>
      </c>
      <c r="G164" s="49"/>
      <c r="H164" s="198" t="s">
        <v>63</v>
      </c>
      <c r="I164" s="47"/>
      <c r="J164" s="213">
        <v>0</v>
      </c>
      <c r="K164" s="49"/>
      <c r="L164" s="198" t="s">
        <v>63</v>
      </c>
      <c r="M164" s="47"/>
      <c r="N164" s="213">
        <v>0</v>
      </c>
      <c r="O164" s="49"/>
      <c r="P164" s="198" t="s">
        <v>63</v>
      </c>
      <c r="Q164" s="47"/>
      <c r="R164" s="213">
        <v>0</v>
      </c>
    </row>
    <row r="165" spans="1:27" x14ac:dyDescent="0.25">
      <c r="A165" s="198" t="s">
        <v>64</v>
      </c>
      <c r="B165" s="47"/>
      <c r="C165" s="213">
        <v>0</v>
      </c>
      <c r="D165" s="47"/>
      <c r="E165" s="49"/>
      <c r="F165" s="47"/>
      <c r="G165" s="49"/>
      <c r="H165" s="198" t="s">
        <v>64</v>
      </c>
      <c r="I165" s="47"/>
      <c r="J165" s="213">
        <v>0</v>
      </c>
      <c r="K165" s="49"/>
      <c r="L165" s="198" t="s">
        <v>64</v>
      </c>
      <c r="M165" s="47"/>
      <c r="N165" s="213">
        <v>0</v>
      </c>
      <c r="O165" s="49"/>
      <c r="P165" s="198" t="s">
        <v>64</v>
      </c>
      <c r="Q165" s="47"/>
      <c r="R165" s="213">
        <v>0</v>
      </c>
    </row>
    <row r="166" spans="1:27" x14ac:dyDescent="0.25">
      <c r="A166" s="198" t="s">
        <v>78</v>
      </c>
      <c r="B166" s="47"/>
      <c r="C166" s="213">
        <v>0</v>
      </c>
      <c r="D166" s="47"/>
      <c r="E166" s="148" t="s">
        <v>256</v>
      </c>
      <c r="F166" s="47"/>
      <c r="G166" s="49"/>
      <c r="H166" s="198" t="s">
        <v>78</v>
      </c>
      <c r="I166" s="47"/>
      <c r="J166" s="213">
        <v>0</v>
      </c>
      <c r="K166" s="49"/>
      <c r="L166" s="198" t="s">
        <v>78</v>
      </c>
      <c r="M166" s="47"/>
      <c r="N166" s="213">
        <v>0</v>
      </c>
      <c r="O166" s="49"/>
      <c r="P166" s="198" t="s">
        <v>78</v>
      </c>
      <c r="Q166" s="47"/>
      <c r="R166" s="213">
        <v>0</v>
      </c>
    </row>
    <row r="167" spans="1:27" x14ac:dyDescent="0.25">
      <c r="A167" s="198" t="s">
        <v>65</v>
      </c>
      <c r="B167" s="47"/>
      <c r="C167" s="213">
        <v>0</v>
      </c>
      <c r="D167" s="47"/>
      <c r="E167" s="201" t="s">
        <v>240</v>
      </c>
      <c r="F167" s="201" t="s">
        <v>240</v>
      </c>
      <c r="G167" s="49"/>
      <c r="H167" s="198" t="s">
        <v>65</v>
      </c>
      <c r="I167" s="47"/>
      <c r="J167" s="213">
        <v>0</v>
      </c>
      <c r="K167" s="49"/>
      <c r="L167" s="198" t="s">
        <v>65</v>
      </c>
      <c r="M167" s="47"/>
      <c r="N167" s="213">
        <v>0</v>
      </c>
      <c r="O167" s="49"/>
      <c r="P167" s="198" t="s">
        <v>65</v>
      </c>
      <c r="Q167" s="47"/>
      <c r="R167" s="213">
        <v>0</v>
      </c>
    </row>
    <row r="168" spans="1:27" x14ac:dyDescent="0.25">
      <c r="A168" s="198" t="s">
        <v>66</v>
      </c>
      <c r="B168" s="47"/>
      <c r="C168" s="213">
        <v>0</v>
      </c>
      <c r="D168" s="47"/>
      <c r="E168" s="201" t="s">
        <v>241</v>
      </c>
      <c r="F168" s="201" t="s">
        <v>241</v>
      </c>
      <c r="G168" s="49"/>
      <c r="H168" s="198" t="s">
        <v>66</v>
      </c>
      <c r="I168" s="47"/>
      <c r="J168" s="213">
        <v>0</v>
      </c>
      <c r="K168" s="49"/>
      <c r="L168" s="198" t="s">
        <v>66</v>
      </c>
      <c r="M168" s="47"/>
      <c r="N168" s="213">
        <v>0</v>
      </c>
      <c r="O168" s="49"/>
      <c r="P168" s="198" t="s">
        <v>66</v>
      </c>
      <c r="Q168" s="47"/>
      <c r="R168" s="213">
        <v>0</v>
      </c>
    </row>
    <row r="169" spans="1:27" x14ac:dyDescent="0.25">
      <c r="A169" s="198" t="s">
        <v>67</v>
      </c>
      <c r="B169" s="47"/>
      <c r="C169" s="213">
        <v>0</v>
      </c>
      <c r="D169" s="47"/>
      <c r="E169" s="201" t="s">
        <v>242</v>
      </c>
      <c r="F169" s="201" t="s">
        <v>242</v>
      </c>
      <c r="G169" s="49"/>
      <c r="H169" s="198" t="s">
        <v>67</v>
      </c>
      <c r="I169" s="47"/>
      <c r="J169" s="213">
        <v>0</v>
      </c>
      <c r="K169" s="49"/>
      <c r="L169" s="198" t="s">
        <v>67</v>
      </c>
      <c r="M169" s="47"/>
      <c r="N169" s="213">
        <v>0</v>
      </c>
      <c r="O169" s="49"/>
      <c r="P169" s="198" t="s">
        <v>67</v>
      </c>
      <c r="Q169" s="47"/>
      <c r="R169" s="213">
        <v>0</v>
      </c>
    </row>
    <row r="170" spans="1:27" x14ac:dyDescent="0.25">
      <c r="A170" s="198" t="s">
        <v>68</v>
      </c>
      <c r="B170" s="47"/>
      <c r="C170" s="213">
        <v>0</v>
      </c>
      <c r="D170" s="47"/>
      <c r="E170" s="201" t="s">
        <v>243</v>
      </c>
      <c r="F170" s="201" t="s">
        <v>243</v>
      </c>
      <c r="G170" s="49"/>
      <c r="H170" s="198" t="s">
        <v>68</v>
      </c>
      <c r="I170" s="47"/>
      <c r="J170" s="213">
        <v>0</v>
      </c>
      <c r="K170" s="49"/>
      <c r="L170" s="198" t="s">
        <v>68</v>
      </c>
      <c r="M170" s="47"/>
      <c r="N170" s="213">
        <v>0</v>
      </c>
      <c r="O170" s="49"/>
      <c r="P170" s="198" t="s">
        <v>68</v>
      </c>
      <c r="Q170" s="47"/>
      <c r="R170" s="213">
        <v>0</v>
      </c>
    </row>
    <row r="171" spans="1:27" ht="16.5" customHeight="1" x14ac:dyDescent="0.25">
      <c r="A171" s="198" t="s">
        <v>79</v>
      </c>
      <c r="B171" s="47"/>
      <c r="C171" s="213">
        <v>0</v>
      </c>
      <c r="D171" s="47"/>
      <c r="E171" s="201" t="s">
        <v>244</v>
      </c>
      <c r="F171" s="201" t="s">
        <v>244</v>
      </c>
      <c r="G171" s="49"/>
      <c r="H171" s="198" t="s">
        <v>79</v>
      </c>
      <c r="I171" s="47"/>
      <c r="J171" s="213">
        <v>0</v>
      </c>
      <c r="K171" s="49"/>
      <c r="L171" s="198" t="s">
        <v>79</v>
      </c>
      <c r="M171" s="47"/>
      <c r="N171" s="213">
        <v>0</v>
      </c>
      <c r="O171" s="49"/>
      <c r="P171" s="198" t="s">
        <v>79</v>
      </c>
      <c r="Q171" s="47"/>
      <c r="R171" s="213">
        <v>0</v>
      </c>
    </row>
    <row r="172" spans="1:27" ht="16.5" customHeight="1" x14ac:dyDescent="0.25">
      <c r="A172" s="198" t="s">
        <v>69</v>
      </c>
      <c r="B172" s="47"/>
      <c r="C172" s="213">
        <v>0</v>
      </c>
      <c r="D172" s="47"/>
      <c r="E172" s="201" t="s">
        <v>245</v>
      </c>
      <c r="F172" s="201" t="s">
        <v>245</v>
      </c>
      <c r="G172" s="49"/>
      <c r="H172" s="198" t="s">
        <v>69</v>
      </c>
      <c r="I172" s="47"/>
      <c r="J172" s="213">
        <v>0</v>
      </c>
      <c r="K172" s="49"/>
      <c r="L172" s="198" t="s">
        <v>69</v>
      </c>
      <c r="M172" s="47"/>
      <c r="N172" s="213">
        <v>0</v>
      </c>
      <c r="O172" s="49"/>
      <c r="P172" s="198" t="s">
        <v>69</v>
      </c>
      <c r="Q172" s="47"/>
      <c r="R172" s="213">
        <v>0</v>
      </c>
      <c r="S172" s="2"/>
      <c r="T172" s="3"/>
      <c r="U172" s="2"/>
      <c r="W172" s="2"/>
      <c r="X172" s="3"/>
      <c r="AA172" s="2"/>
    </row>
    <row r="173" spans="1:27" ht="15.75" customHeight="1" x14ac:dyDescent="0.25">
      <c r="A173" s="198" t="s">
        <v>81</v>
      </c>
      <c r="B173" s="47"/>
      <c r="C173" s="213">
        <v>0</v>
      </c>
      <c r="D173" s="47"/>
      <c r="E173" s="201" t="s">
        <v>254</v>
      </c>
      <c r="F173" s="201" t="s">
        <v>254</v>
      </c>
      <c r="G173" s="49"/>
      <c r="H173" s="198" t="s">
        <v>81</v>
      </c>
      <c r="I173" s="47"/>
      <c r="J173" s="213">
        <v>0</v>
      </c>
      <c r="K173" s="49"/>
      <c r="L173" s="198" t="s">
        <v>81</v>
      </c>
      <c r="M173" s="47"/>
      <c r="N173" s="213">
        <v>0</v>
      </c>
      <c r="O173" s="49"/>
      <c r="P173" s="198" t="s">
        <v>81</v>
      </c>
      <c r="Q173" s="47"/>
      <c r="R173" s="213">
        <v>0</v>
      </c>
    </row>
    <row r="174" spans="1:27" x14ac:dyDescent="0.25">
      <c r="A174" s="198" t="s">
        <v>70</v>
      </c>
      <c r="B174" s="47"/>
      <c r="C174" s="213">
        <v>0</v>
      </c>
      <c r="D174" s="47"/>
      <c r="E174" s="49"/>
      <c r="F174" s="47"/>
      <c r="G174" s="49"/>
      <c r="H174" s="198" t="s">
        <v>70</v>
      </c>
      <c r="I174" s="47"/>
      <c r="J174" s="213">
        <v>0</v>
      </c>
      <c r="K174" s="49"/>
      <c r="L174" s="198" t="s">
        <v>70</v>
      </c>
      <c r="M174" s="47"/>
      <c r="N174" s="213">
        <v>0</v>
      </c>
      <c r="O174" s="49"/>
      <c r="P174" s="198" t="s">
        <v>70</v>
      </c>
      <c r="Q174" s="47"/>
      <c r="R174" s="213">
        <v>0</v>
      </c>
    </row>
    <row r="175" spans="1:27" x14ac:dyDescent="0.25">
      <c r="A175" s="198" t="s">
        <v>71</v>
      </c>
      <c r="B175" s="47"/>
      <c r="C175" s="213">
        <v>0</v>
      </c>
      <c r="D175" s="47"/>
      <c r="E175" s="49"/>
      <c r="F175" s="47"/>
      <c r="G175" s="49"/>
      <c r="H175" s="198" t="s">
        <v>71</v>
      </c>
      <c r="I175" s="47"/>
      <c r="J175" s="213">
        <v>0</v>
      </c>
      <c r="K175" s="49"/>
      <c r="L175" s="198" t="s">
        <v>71</v>
      </c>
      <c r="M175" s="47"/>
      <c r="N175" s="213">
        <v>0</v>
      </c>
      <c r="O175" s="49"/>
      <c r="P175" s="198" t="s">
        <v>71</v>
      </c>
      <c r="Q175" s="47"/>
      <c r="R175" s="213">
        <v>0</v>
      </c>
    </row>
    <row r="176" spans="1:27" x14ac:dyDescent="0.25">
      <c r="A176" s="198" t="s">
        <v>72</v>
      </c>
      <c r="B176" s="47"/>
      <c r="C176" s="213">
        <v>0</v>
      </c>
      <c r="D176" s="47"/>
      <c r="E176" s="49"/>
      <c r="F176" s="47"/>
      <c r="G176" s="49"/>
      <c r="H176" s="198" t="s">
        <v>72</v>
      </c>
      <c r="I176" s="47"/>
      <c r="J176" s="213">
        <v>0</v>
      </c>
      <c r="K176" s="49"/>
      <c r="L176" s="198" t="s">
        <v>72</v>
      </c>
      <c r="M176" s="47"/>
      <c r="N176" s="213">
        <v>0</v>
      </c>
      <c r="O176" s="49"/>
      <c r="P176" s="198" t="s">
        <v>72</v>
      </c>
      <c r="Q176" s="47"/>
      <c r="R176" s="213">
        <v>0</v>
      </c>
    </row>
    <row r="177" spans="1:18" x14ac:dyDescent="0.25">
      <c r="A177" s="198" t="s">
        <v>73</v>
      </c>
      <c r="B177" s="47"/>
      <c r="C177" s="213">
        <v>0</v>
      </c>
      <c r="D177" s="47"/>
      <c r="E177" s="49"/>
      <c r="F177" s="47"/>
      <c r="G177" s="49"/>
      <c r="H177" s="198" t="s">
        <v>73</v>
      </c>
      <c r="I177" s="47"/>
      <c r="J177" s="213">
        <v>0</v>
      </c>
      <c r="K177" s="49"/>
      <c r="L177" s="198" t="s">
        <v>73</v>
      </c>
      <c r="M177" s="47"/>
      <c r="N177" s="213">
        <v>0</v>
      </c>
      <c r="O177" s="49"/>
      <c r="P177" s="198" t="s">
        <v>73</v>
      </c>
      <c r="Q177" s="47"/>
      <c r="R177" s="213">
        <v>0</v>
      </c>
    </row>
    <row r="178" spans="1:18" x14ac:dyDescent="0.25">
      <c r="A178" s="198" t="s">
        <v>74</v>
      </c>
      <c r="B178" s="47"/>
      <c r="C178" s="213">
        <v>0</v>
      </c>
      <c r="D178" s="47"/>
      <c r="E178" s="49"/>
      <c r="F178" s="47"/>
      <c r="G178" s="49"/>
      <c r="H178" s="198" t="s">
        <v>74</v>
      </c>
      <c r="I178" s="47"/>
      <c r="J178" s="213">
        <v>0</v>
      </c>
      <c r="K178" s="49"/>
      <c r="L178" s="198" t="s">
        <v>74</v>
      </c>
      <c r="M178" s="47"/>
      <c r="N178" s="213">
        <v>0</v>
      </c>
      <c r="O178" s="49"/>
      <c r="P178" s="198" t="s">
        <v>74</v>
      </c>
      <c r="Q178" s="47"/>
      <c r="R178" s="213">
        <v>0</v>
      </c>
    </row>
    <row r="179" spans="1:18" x14ac:dyDescent="0.25">
      <c r="A179" s="198" t="s">
        <v>75</v>
      </c>
      <c r="B179" s="47"/>
      <c r="C179" s="213">
        <v>0</v>
      </c>
      <c r="D179" s="47"/>
      <c r="E179" s="49"/>
      <c r="F179" s="47"/>
      <c r="G179" s="49"/>
      <c r="H179" s="198" t="s">
        <v>75</v>
      </c>
      <c r="I179" s="47"/>
      <c r="J179" s="213">
        <v>0</v>
      </c>
      <c r="K179" s="49"/>
      <c r="L179" s="198" t="s">
        <v>75</v>
      </c>
      <c r="M179" s="47"/>
      <c r="N179" s="213">
        <v>0</v>
      </c>
      <c r="O179" s="49"/>
      <c r="P179" s="198" t="s">
        <v>75</v>
      </c>
      <c r="Q179" s="47"/>
      <c r="R179" s="213">
        <v>0</v>
      </c>
    </row>
    <row r="180" spans="1:18" x14ac:dyDescent="0.25">
      <c r="A180" s="198" t="s">
        <v>76</v>
      </c>
      <c r="B180" s="47"/>
      <c r="C180" s="213">
        <v>0</v>
      </c>
      <c r="D180" s="47"/>
      <c r="E180" s="49"/>
      <c r="F180" s="47"/>
      <c r="G180" s="49"/>
      <c r="H180" s="198" t="s">
        <v>76</v>
      </c>
      <c r="I180" s="47"/>
      <c r="J180" s="213">
        <v>0</v>
      </c>
      <c r="K180" s="49"/>
      <c r="L180" s="198" t="s">
        <v>76</v>
      </c>
      <c r="M180" s="47"/>
      <c r="N180" s="213">
        <v>0</v>
      </c>
      <c r="O180" s="49"/>
      <c r="P180" s="198" t="s">
        <v>76</v>
      </c>
      <c r="Q180" s="47"/>
      <c r="R180" s="213">
        <v>0</v>
      </c>
    </row>
    <row r="181" spans="1:18" x14ac:dyDescent="0.25">
      <c r="A181" s="198" t="s">
        <v>77</v>
      </c>
      <c r="B181" s="47"/>
      <c r="C181" s="213">
        <v>0</v>
      </c>
      <c r="D181" s="47"/>
      <c r="E181" s="49"/>
      <c r="F181" s="47"/>
      <c r="G181" s="49"/>
      <c r="H181" s="198" t="s">
        <v>77</v>
      </c>
      <c r="I181" s="47"/>
      <c r="J181" s="213">
        <v>0</v>
      </c>
      <c r="K181" s="49"/>
      <c r="L181" s="198" t="s">
        <v>77</v>
      </c>
      <c r="M181" s="47"/>
      <c r="N181" s="213">
        <v>0</v>
      </c>
      <c r="O181" s="49"/>
      <c r="P181" s="198" t="s">
        <v>77</v>
      </c>
      <c r="Q181" s="47"/>
      <c r="R181" s="213">
        <v>0</v>
      </c>
    </row>
    <row r="182" spans="1:18" x14ac:dyDescent="0.25">
      <c r="A182" s="198" t="s">
        <v>80</v>
      </c>
      <c r="B182" s="47"/>
      <c r="C182" s="213">
        <v>0</v>
      </c>
      <c r="D182" s="47"/>
      <c r="E182" s="49"/>
      <c r="F182" s="47"/>
      <c r="G182" s="49"/>
      <c r="H182" s="198" t="s">
        <v>80</v>
      </c>
      <c r="I182" s="47"/>
      <c r="J182" s="213">
        <v>0</v>
      </c>
      <c r="K182" s="49"/>
      <c r="L182" s="198" t="s">
        <v>80</v>
      </c>
      <c r="M182" s="47"/>
      <c r="N182" s="213">
        <v>0</v>
      </c>
      <c r="O182" s="49"/>
      <c r="P182" s="198" t="s">
        <v>80</v>
      </c>
      <c r="Q182" s="47"/>
      <c r="R182" s="213">
        <v>0</v>
      </c>
    </row>
    <row r="183" spans="1:18" x14ac:dyDescent="0.25">
      <c r="A183" s="198" t="s">
        <v>269</v>
      </c>
      <c r="B183" s="47"/>
      <c r="C183" s="213">
        <v>0</v>
      </c>
      <c r="D183" s="47"/>
      <c r="E183" s="49"/>
      <c r="F183" s="47"/>
      <c r="G183" s="49"/>
      <c r="H183" s="198" t="s">
        <v>269</v>
      </c>
      <c r="I183" s="47"/>
      <c r="J183" s="213">
        <v>0</v>
      </c>
      <c r="K183" s="49"/>
      <c r="L183" s="198" t="s">
        <v>269</v>
      </c>
      <c r="M183" s="47"/>
      <c r="N183" s="213">
        <v>0</v>
      </c>
      <c r="O183" s="49"/>
      <c r="P183" s="198" t="s">
        <v>269</v>
      </c>
      <c r="Q183" s="47"/>
      <c r="R183" s="213">
        <v>0</v>
      </c>
    </row>
  </sheetData>
  <sheetProtection password="CDE0" sheet="1" objects="1" scenarios="1" selectLockedCells="1"/>
  <protectedRanges>
    <protectedRange sqref="J110:J111 N110:N111 R110:R111 B113 I113 J113 M113 N113 Q113 R113 B122 I122 M122 Q122 A125:B134 H125:I134 L125:M134 P125:Q134 B138:B148 I138:I148 M138:M148 Q138:Q148 C162:C183" name="Rango1"/>
  </protectedRanges>
  <mergeCells count="7">
    <mergeCell ref="H154:I156"/>
    <mergeCell ref="L154:Q156"/>
    <mergeCell ref="J154:K156"/>
    <mergeCell ref="A136:C137"/>
    <mergeCell ref="H136:J137"/>
    <mergeCell ref="L136:N137"/>
    <mergeCell ref="P136:R137"/>
  </mergeCells>
  <dataValidations count="14">
    <dataValidation type="list" allowBlank="1" showInputMessage="1" showErrorMessage="1" sqref="AA40:AA41">
      <formula1>#REF!</formula1>
    </dataValidation>
    <dataValidation type="list" allowBlank="1" showInputMessage="1" showErrorMessage="1" sqref="AA38:AA39">
      <formula1>$B$42:$B$76</formula1>
    </dataValidation>
    <dataValidation type="list" allowBlank="1" showInputMessage="1" showErrorMessage="1" sqref="B140 Q140 M140 I140">
      <formula1>Marca</formula1>
    </dataValidation>
    <dataValidation type="list" allowBlank="1" showInputMessage="1" showErrorMessage="1" sqref="B144 B141 Q144 Q141 M144 M141 I144 I141">
      <formula1>INDIRECT(B140)</formula1>
    </dataValidation>
    <dataValidation type="list" allowBlank="1" showInputMessage="1" showErrorMessage="1" sqref="B143 Q143 M143 I143">
      <formula1>Motor</formula1>
    </dataValidation>
    <dataValidation type="list" allowBlank="1" showInputMessage="1" showErrorMessage="1" sqref="B155">
      <formula1>$B$22:$B$28</formula1>
    </dataValidation>
    <dataValidation type="list" allowBlank="1" showInputMessage="1" showErrorMessage="1" sqref="B145 Q145 M145 I145">
      <formula1>Freno_Motor</formula1>
    </dataValidation>
    <dataValidation type="list" allowBlank="1" showInputMessage="1" showErrorMessage="1" sqref="B142 Q142 M142 I142">
      <formula1>Cabina</formula1>
    </dataValidation>
    <dataValidation type="list" allowBlank="1" showInputMessage="1" showErrorMessage="1" sqref="B146 Q146 M146 I146">
      <formula1>$P$94:$P$102</formula1>
    </dataValidation>
    <dataValidation type="list" allowBlank="1" showInputMessage="1" showErrorMessage="1" sqref="B147 Q147 M147 I147">
      <formula1>Suspensión</formula1>
    </dataValidation>
    <dataValidation type="list" allowBlank="1" showInputMessage="1" showErrorMessage="1" sqref="B148 Q148 M148 I148">
      <formula1>Diferencial</formula1>
    </dataValidation>
    <dataValidation type="list" allowBlank="1" showInputMessage="1" showErrorMessage="1" sqref="B139 Q139 M139 I139">
      <formula1>Valor_Rescate</formula1>
    </dataValidation>
    <dataValidation type="list" allowBlank="1" showInputMessage="1" showErrorMessage="1" sqref="I138 M138 Q138 B138">
      <formula1>Edo_Consev_Comparables</formula1>
    </dataValidation>
    <dataValidation type="list" allowBlank="1" showInputMessage="1" showErrorMessage="1" sqref="B125:B134 I125:I134 M125:M134 Q125:Q134">
      <formula1>$E$22:$E$31</formula1>
    </dataValidation>
  </dataValidations>
  <pageMargins left="0.25" right="0.25" top="0.75" bottom="0.75" header="0.3" footer="0.3"/>
  <pageSetup paperSize="14" scale="6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A3" sqref="A3"/>
    </sheetView>
  </sheetViews>
  <sheetFormatPr baseColWidth="10" defaultRowHeight="15" x14ac:dyDescent="0.25"/>
  <sheetData>
    <row r="1" spans="1:17" x14ac:dyDescent="0.25">
      <c r="B1" s="20">
        <f>TRUNC(A3,-7)</f>
        <v>0</v>
      </c>
      <c r="C1" s="20">
        <f>TRUNC(A3,-6)</f>
        <v>0</v>
      </c>
      <c r="D1" s="20">
        <f>TRUNC(A3,-5)</f>
        <v>300000</v>
      </c>
      <c r="E1" s="20">
        <f>TRUNC(A3,-4)</f>
        <v>380000</v>
      </c>
      <c r="F1" s="20">
        <f>TRUNC(A3,-3)</f>
        <v>388000</v>
      </c>
      <c r="G1" s="20">
        <f>TRUNC(A3,-2)</f>
        <v>388300</v>
      </c>
      <c r="H1" s="20">
        <f>TRUNC(A3,-1)</f>
        <v>388300</v>
      </c>
      <c r="I1" s="20">
        <f>TRUNC(A3,0)</f>
        <v>388300</v>
      </c>
      <c r="J1" s="20" t="str">
        <f>IF(A3-I1&gt;0,(A3-I1)*100,"00")</f>
        <v>00</v>
      </c>
      <c r="K1" s="21">
        <f>(J1-L1)/10</f>
        <v>0</v>
      </c>
      <c r="L1" s="20" t="str">
        <f>IF(A3-I1&gt;0,(A3-I1)*100,"00")</f>
        <v>00</v>
      </c>
    </row>
    <row r="2" spans="1:17" x14ac:dyDescent="0.25">
      <c r="B2" s="22">
        <f>B1/10000000</f>
        <v>0</v>
      </c>
      <c r="C2" s="22">
        <f>(C1-B1)/1000000</f>
        <v>0</v>
      </c>
      <c r="D2" s="22">
        <f>(D1-C1)/100000</f>
        <v>3</v>
      </c>
      <c r="E2" s="22">
        <f>(E1-D1)/10000</f>
        <v>8</v>
      </c>
      <c r="F2" s="22">
        <f>(F1-E1)/1000</f>
        <v>8</v>
      </c>
      <c r="G2" s="22">
        <f>(G1-F1)/100</f>
        <v>3</v>
      </c>
      <c r="H2" s="22">
        <f>(H1-G1)/10</f>
        <v>0</v>
      </c>
      <c r="I2" s="20">
        <f>+I1-H1</f>
        <v>0</v>
      </c>
      <c r="J2" s="20" t="str">
        <f>IF(A3-I1=0,"00",ROUND(J1,0))</f>
        <v>00</v>
      </c>
      <c r="K2" s="23"/>
      <c r="L2" s="22"/>
    </row>
    <row r="3" spans="1:17" x14ac:dyDescent="0.25">
      <c r="A3" s="24">
        <f>Hoja1!J154</f>
        <v>388300</v>
      </c>
      <c r="C3" s="25"/>
    </row>
    <row r="4" spans="1:17" x14ac:dyDescent="0.25">
      <c r="A4" s="26"/>
    </row>
    <row r="5" spans="1:17" x14ac:dyDescent="0.25">
      <c r="A5" s="27" t="str">
        <f>H29</f>
        <v>TRESCIENTOS OCHENTA Y OCHO  MIL TRESCIENTOS  PESOS 00/100  M.N.</v>
      </c>
      <c r="B5" s="28"/>
      <c r="C5" s="28"/>
      <c r="D5" s="28"/>
      <c r="E5" s="28"/>
      <c r="F5" s="28"/>
      <c r="G5" s="28"/>
      <c r="H5" s="28"/>
      <c r="I5" s="28"/>
      <c r="J5" s="28"/>
    </row>
    <row r="6" spans="1:17" x14ac:dyDescent="0.25">
      <c r="A6" s="27"/>
      <c r="B6" s="28"/>
      <c r="C6" s="28"/>
      <c r="D6" s="28"/>
      <c r="E6" s="28"/>
      <c r="F6" s="28"/>
      <c r="G6" s="28"/>
      <c r="H6" s="28"/>
      <c r="I6" s="28"/>
      <c r="J6" s="28"/>
    </row>
    <row r="7" spans="1:17" x14ac:dyDescent="0.25">
      <c r="A7" s="27"/>
      <c r="B7" s="28"/>
      <c r="C7" s="28"/>
      <c r="D7" s="28"/>
      <c r="E7" s="28"/>
      <c r="F7" s="28"/>
      <c r="G7" s="28"/>
      <c r="H7" s="28"/>
      <c r="I7" s="28"/>
      <c r="J7" s="28"/>
    </row>
    <row r="8" spans="1:17" x14ac:dyDescent="0.25">
      <c r="A8" s="27"/>
      <c r="B8" s="28"/>
      <c r="C8" s="28"/>
      <c r="D8" s="28"/>
      <c r="E8" s="28"/>
      <c r="F8" s="28"/>
      <c r="G8" s="28"/>
      <c r="H8" s="28"/>
      <c r="I8" s="28"/>
      <c r="J8" s="28"/>
    </row>
    <row r="9" spans="1:17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</row>
    <row r="10" spans="1:17" x14ac:dyDescent="0.25">
      <c r="A10" s="27"/>
      <c r="B10" s="28"/>
      <c r="C10" s="28"/>
      <c r="D10" s="28"/>
      <c r="E10" s="28"/>
      <c r="F10" s="28"/>
      <c r="G10" s="28"/>
      <c r="H10" s="28"/>
      <c r="I10" s="28"/>
      <c r="J10" s="28"/>
    </row>
    <row r="11" spans="1:17" x14ac:dyDescent="0.25">
      <c r="A11" s="27"/>
      <c r="B11" s="28"/>
      <c r="C11" s="28"/>
      <c r="D11" s="28"/>
      <c r="E11" s="28"/>
      <c r="F11" s="28"/>
      <c r="G11" s="28"/>
      <c r="H11" s="28"/>
      <c r="I11" s="28"/>
      <c r="J11" s="28"/>
    </row>
    <row r="12" spans="1:17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8"/>
    </row>
    <row r="15" spans="1:17" ht="15.75" thickBot="1" x14ac:dyDescent="0.3"/>
    <row r="16" spans="1:17" ht="15.75" thickBot="1" x14ac:dyDescent="0.3">
      <c r="A16" s="29"/>
      <c r="B16" s="30" t="s">
        <v>172</v>
      </c>
      <c r="C16" s="31" t="s">
        <v>173</v>
      </c>
      <c r="D16" s="31" t="s">
        <v>173</v>
      </c>
      <c r="E16" s="31" t="s">
        <v>174</v>
      </c>
      <c r="F16" s="32"/>
      <c r="G16" s="33" t="s">
        <v>175</v>
      </c>
      <c r="H16" s="33" t="s">
        <v>176</v>
      </c>
      <c r="I16" s="33" t="s">
        <v>177</v>
      </c>
      <c r="J16" s="33" t="s">
        <v>178</v>
      </c>
      <c r="K16" s="33"/>
      <c r="L16" s="33" t="s">
        <v>179</v>
      </c>
      <c r="M16" s="33"/>
      <c r="N16" s="33" t="s">
        <v>180</v>
      </c>
      <c r="O16" s="33" t="s">
        <v>181</v>
      </c>
      <c r="P16" s="33"/>
      <c r="Q16" s="33" t="s">
        <v>182</v>
      </c>
    </row>
    <row r="17" spans="1:17" x14ac:dyDescent="0.25">
      <c r="A17" s="34">
        <v>1</v>
      </c>
      <c r="B17" s="35" t="s">
        <v>183</v>
      </c>
      <c r="C17" s="35" t="s">
        <v>184</v>
      </c>
      <c r="D17" s="35" t="s">
        <v>185</v>
      </c>
      <c r="E17" s="35" t="s">
        <v>186</v>
      </c>
      <c r="F17" s="36" t="s">
        <v>187</v>
      </c>
      <c r="G17" s="37" t="str">
        <f>IF(AND(A17=B2,C2=1),D17,IF(AND(C2=0,B2=1),C17,""))</f>
        <v/>
      </c>
      <c r="H17" s="37" t="str">
        <f>IF(AND(A17=C2,B2=0),F17,IF(B2=1,"",IF(A17=C2,B17,"")))</f>
        <v/>
      </c>
      <c r="I17" s="37" t="str">
        <f>IF(AND(A17=D2,E2=0,F2=0),C28,IF(A17=D2,E17,""))</f>
        <v/>
      </c>
      <c r="J17" s="37" t="str">
        <f>IF(AND(A17=E2,F2=1),D17,IF(AND(F2=0,E2=1),C17,""))</f>
        <v/>
      </c>
      <c r="K17" s="37"/>
      <c r="L17" s="37" t="str">
        <f>IF(E2=1,"",IF(A17=F2,B17,""))</f>
        <v/>
      </c>
      <c r="M17" s="37"/>
      <c r="N17" s="37" t="str">
        <f>IF(AND(A17=G2,H2=0,I2=0),C28,IF(A17=G2,E17,""))</f>
        <v/>
      </c>
      <c r="O17" s="37" t="str">
        <f>IF(AND(A17=H2,I2=1),D17,IF(AND(I2=0,H2=1),C17,""))</f>
        <v/>
      </c>
      <c r="P17" s="37"/>
      <c r="Q17" s="37" t="str">
        <f>IF(H2=1,"",IF(A17=I2,B17,""))</f>
        <v/>
      </c>
    </row>
    <row r="18" spans="1:17" x14ac:dyDescent="0.25">
      <c r="A18" s="38">
        <v>2</v>
      </c>
      <c r="B18" s="39" t="s">
        <v>188</v>
      </c>
      <c r="C18" s="39" t="s">
        <v>189</v>
      </c>
      <c r="D18" s="39" t="s">
        <v>190</v>
      </c>
      <c r="E18" s="39" t="s">
        <v>191</v>
      </c>
      <c r="F18" s="40" t="s">
        <v>192</v>
      </c>
      <c r="G18" s="37" t="str">
        <f>IF(AND(A18=B2,C2&gt;0),C18,IF(AND(B2=2,C2=0),"VEINTE",IF(AND(B2=1,C2=2),D18,"")))</f>
        <v/>
      </c>
      <c r="H18" s="37" t="str">
        <f>IF(AND(C2&lt;6,B2=1),"",IF(A18=C2,F18,""))</f>
        <v/>
      </c>
      <c r="I18" s="37" t="str">
        <f>IF(A18=D2,E18,"")</f>
        <v/>
      </c>
      <c r="J18" s="37" t="str">
        <f>IF(AND(A18=E2,F2&gt;0),C18,IF(AND(E2=2,F2=0),"VEINTE",IF(AND(E2=1,F2=2),D18,"")))</f>
        <v/>
      </c>
      <c r="K18" s="37"/>
      <c r="L18" s="37" t="str">
        <f>IF(E2=1,"",IF(A18=F2,B18,""))</f>
        <v/>
      </c>
      <c r="M18" s="37"/>
      <c r="N18" s="37" t="str">
        <f>IF(A18=G2,E18,"")</f>
        <v/>
      </c>
      <c r="O18" s="37" t="str">
        <f>IF(AND(A18=H2,I2&gt;0),C18,IF(AND(H2=2,I2=0),"VEINTE",IF(AND(H2=1,I2=2),D18,"")))</f>
        <v/>
      </c>
      <c r="P18" s="37"/>
      <c r="Q18" s="37" t="str">
        <f>IF(H2=1,"",IF(A18=I2,B18,""))</f>
        <v/>
      </c>
    </row>
    <row r="19" spans="1:17" x14ac:dyDescent="0.25">
      <c r="A19" s="38">
        <v>3</v>
      </c>
      <c r="B19" s="39" t="s">
        <v>193</v>
      </c>
      <c r="C19" s="39" t="s">
        <v>194</v>
      </c>
      <c r="D19" s="39" t="s">
        <v>195</v>
      </c>
      <c r="E19" s="39" t="s">
        <v>196</v>
      </c>
      <c r="F19" s="40" t="s">
        <v>197</v>
      </c>
      <c r="G19" s="37" t="str">
        <f>IF(A19=B2,C19,IF(AND(C2=3,B2=1),D19,""))</f>
        <v/>
      </c>
      <c r="H19" s="37" t="str">
        <f>IF(AND(C2&lt;6,B2=1),"",IF(A19=C2,F19,""))</f>
        <v/>
      </c>
      <c r="I19" s="37" t="str">
        <f>IF(A19=D2,E19,"")</f>
        <v xml:space="preserve">TRESCIENTOS </v>
      </c>
      <c r="J19" s="37" t="str">
        <f>IF(A19=E2,C19,IF(AND(F2=3,E2=1),D19,""))</f>
        <v/>
      </c>
      <c r="K19" s="37"/>
      <c r="L19" s="37" t="str">
        <f>IF(E2=1,"",IF(A19=F2,B19,""))</f>
        <v/>
      </c>
      <c r="M19" s="37"/>
      <c r="N19" s="37" t="str">
        <f>IF(A19=G2,E19,"")</f>
        <v xml:space="preserve">TRESCIENTOS </v>
      </c>
      <c r="O19" s="37" t="str">
        <f>IF(A19=H2,C19,IF(AND(I2=3,H2=1),D19,""))</f>
        <v/>
      </c>
      <c r="P19" s="37"/>
      <c r="Q19" s="37" t="str">
        <f>IF(H2=1,"",IF(A19=I2,B19,""))</f>
        <v/>
      </c>
    </row>
    <row r="20" spans="1:17" x14ac:dyDescent="0.25">
      <c r="A20" s="38">
        <v>4</v>
      </c>
      <c r="B20" s="39" t="s">
        <v>198</v>
      </c>
      <c r="C20" s="39" t="s">
        <v>199</v>
      </c>
      <c r="D20" s="39" t="s">
        <v>200</v>
      </c>
      <c r="E20" s="39" t="s">
        <v>201</v>
      </c>
      <c r="F20" s="40" t="s">
        <v>202</v>
      </c>
      <c r="G20" s="37" t="str">
        <f>IF(A20=B2,C20,IF(AND(C2=4,B2=1),D20,""))</f>
        <v/>
      </c>
      <c r="H20" s="37" t="str">
        <f>IF(AND(C2&lt;6,B2=1),"",IF(A20=C2,F20,""))</f>
        <v/>
      </c>
      <c r="I20" s="37" t="str">
        <f>IF(A20=D2,E20,"")</f>
        <v/>
      </c>
      <c r="J20" s="37" t="str">
        <f>IF(A20=E2,C20,IF(AND(F2=4,E2=1),D20,""))</f>
        <v/>
      </c>
      <c r="K20" s="37"/>
      <c r="L20" s="37" t="str">
        <f>IF(E2=1,"",IF(A20=F2,B20,""))</f>
        <v/>
      </c>
      <c r="M20" s="37"/>
      <c r="N20" s="37" t="str">
        <f>IF(A20=G2,E20,"")</f>
        <v/>
      </c>
      <c r="O20" s="37" t="str">
        <f>IF(A20=H2,C20,IF(AND(I2=4,H2=1),D20,""))</f>
        <v/>
      </c>
      <c r="P20" s="37"/>
      <c r="Q20" s="37" t="str">
        <f>IF(H2=1,"",IF(A20=I2,B20,""))</f>
        <v/>
      </c>
    </row>
    <row r="21" spans="1:17" x14ac:dyDescent="0.25">
      <c r="A21" s="38">
        <v>5</v>
      </c>
      <c r="B21" s="39" t="s">
        <v>203</v>
      </c>
      <c r="C21" s="39" t="s">
        <v>204</v>
      </c>
      <c r="D21" s="39" t="s">
        <v>205</v>
      </c>
      <c r="E21" s="39" t="s">
        <v>206</v>
      </c>
      <c r="F21" s="40" t="s">
        <v>207</v>
      </c>
      <c r="G21" s="37" t="str">
        <f>IF(A21=B2,C21,IF(AND(C2=5,B2=1),D21,""))</f>
        <v/>
      </c>
      <c r="H21" s="37" t="str">
        <f>IF(AND(C2&lt;6,B2=1),"",IF(A21=C2,F21,""))</f>
        <v/>
      </c>
      <c r="I21" s="37" t="str">
        <f>IF(A21=D2,E21,"")</f>
        <v/>
      </c>
      <c r="J21" s="37" t="str">
        <f>IF(A21=E2,C21,IF(AND(F2=5,E2=1),D21,""))</f>
        <v/>
      </c>
      <c r="K21" s="37"/>
      <c r="L21" s="37" t="str">
        <f>IF(E2=1,"",IF(A21=F2,B21,""))</f>
        <v/>
      </c>
      <c r="M21" s="37"/>
      <c r="N21" s="37" t="str">
        <f>IF(A21=G2,E21,"")</f>
        <v/>
      </c>
      <c r="O21" s="37" t="str">
        <f>IF(A21=H2,C21,IF(AND(I2=5,H2=1),D21,""))</f>
        <v/>
      </c>
      <c r="P21" s="37"/>
      <c r="Q21" s="37" t="str">
        <f>IF(H2=1,"",IF(A21=I2,B21,""))</f>
        <v/>
      </c>
    </row>
    <row r="22" spans="1:17" x14ac:dyDescent="0.25">
      <c r="A22" s="38">
        <v>6</v>
      </c>
      <c r="B22" s="39" t="s">
        <v>208</v>
      </c>
      <c r="C22" s="39" t="s">
        <v>209</v>
      </c>
      <c r="D22" s="39" t="s">
        <v>210</v>
      </c>
      <c r="E22" s="39" t="s">
        <v>211</v>
      </c>
      <c r="F22" s="40" t="s">
        <v>212</v>
      </c>
      <c r="G22" s="37" t="str">
        <f>IF(A22=B2,C22,IF(AND(C2&gt;5,B2=1),D22,""))</f>
        <v/>
      </c>
      <c r="H22" s="37" t="str">
        <f>IF(A22=C2,F22,"")</f>
        <v/>
      </c>
      <c r="I22" s="37" t="str">
        <f>IF(A22=D2,E22,"")</f>
        <v/>
      </c>
      <c r="J22" s="37" t="str">
        <f>IF(A22=E2,C22,IF(AND(F2&gt;5,E2=1),D22,""))</f>
        <v/>
      </c>
      <c r="K22" s="37"/>
      <c r="L22" s="37" t="str">
        <f>IF(A22=F2,B22,"")</f>
        <v/>
      </c>
      <c r="M22" s="37"/>
      <c r="N22" s="37" t="str">
        <f>IF(A22=G2,E22,"")</f>
        <v/>
      </c>
      <c r="O22" s="37" t="str">
        <f>IF(A22=H2,C22,IF(AND(I2&gt;5,H2=1),D22,""))</f>
        <v/>
      </c>
      <c r="P22" s="37"/>
      <c r="Q22" s="37" t="str">
        <f>IF(A22=I2,B22,"")</f>
        <v/>
      </c>
    </row>
    <row r="23" spans="1:17" x14ac:dyDescent="0.25">
      <c r="A23" s="38">
        <v>7</v>
      </c>
      <c r="B23" s="39" t="s">
        <v>213</v>
      </c>
      <c r="C23" s="39" t="s">
        <v>214</v>
      </c>
      <c r="D23" s="39" t="s">
        <v>210</v>
      </c>
      <c r="E23" s="39" t="s">
        <v>215</v>
      </c>
      <c r="F23" s="40" t="s">
        <v>216</v>
      </c>
      <c r="G23" s="37" t="str">
        <f>IF(A23=B2,C23,"")</f>
        <v/>
      </c>
      <c r="H23" s="37" t="str">
        <f>IF(A23=C2,F23,"")</f>
        <v/>
      </c>
      <c r="I23" s="37" t="str">
        <f>IF(A23=D2,E23,"")</f>
        <v/>
      </c>
      <c r="J23" s="37" t="str">
        <f>IF(A23=E2,C23,"")</f>
        <v/>
      </c>
      <c r="K23" s="37"/>
      <c r="L23" s="37" t="str">
        <f>IF(A23=F2,B23,"")</f>
        <v/>
      </c>
      <c r="M23" s="37"/>
      <c r="N23" s="37" t="str">
        <f>IF(A23=G2,E23,"")</f>
        <v/>
      </c>
      <c r="O23" s="37" t="str">
        <f>IF(A23=H2,C23,"")</f>
        <v/>
      </c>
      <c r="P23" s="37"/>
      <c r="Q23" s="37" t="str">
        <f>IF(A23=I2,B23,"")</f>
        <v/>
      </c>
    </row>
    <row r="24" spans="1:17" x14ac:dyDescent="0.25">
      <c r="A24" s="38">
        <v>8</v>
      </c>
      <c r="B24" s="39" t="s">
        <v>217</v>
      </c>
      <c r="C24" s="39" t="s">
        <v>218</v>
      </c>
      <c r="D24" s="39" t="s">
        <v>210</v>
      </c>
      <c r="E24" s="39" t="s">
        <v>219</v>
      </c>
      <c r="F24" s="40" t="s">
        <v>220</v>
      </c>
      <c r="G24" s="37" t="str">
        <f>IF(A24=B2,C24,"")</f>
        <v/>
      </c>
      <c r="H24" s="37" t="str">
        <f>IF(A24=C2,F24,"")</f>
        <v/>
      </c>
      <c r="I24" s="37" t="str">
        <f>IF(A24=D2,E24,"")</f>
        <v/>
      </c>
      <c r="J24" s="37" t="str">
        <f>IF(A24=E2,C24,"")</f>
        <v xml:space="preserve">OCHENTA </v>
      </c>
      <c r="K24" s="37"/>
      <c r="L24" s="37" t="str">
        <f>IF(A24=F2,B24,"")</f>
        <v xml:space="preserve">OCHO </v>
      </c>
      <c r="M24" s="37"/>
      <c r="N24" s="37" t="str">
        <f>IF(A24=G2,E24,"")</f>
        <v/>
      </c>
      <c r="O24" s="37" t="str">
        <f>IF(A24=H2,C24,"")</f>
        <v/>
      </c>
      <c r="P24" s="37"/>
      <c r="Q24" s="37" t="str">
        <f>IF(A24=I2,B24,"")</f>
        <v/>
      </c>
    </row>
    <row r="25" spans="1:17" x14ac:dyDescent="0.25">
      <c r="A25" s="38">
        <v>9</v>
      </c>
      <c r="B25" s="39" t="s">
        <v>221</v>
      </c>
      <c r="C25" s="39" t="s">
        <v>222</v>
      </c>
      <c r="D25" s="39" t="s">
        <v>210</v>
      </c>
      <c r="E25" s="39" t="s">
        <v>223</v>
      </c>
      <c r="F25" s="40" t="s">
        <v>224</v>
      </c>
      <c r="G25" s="37" t="str">
        <f>IF(A25=B2,C25,"")</f>
        <v/>
      </c>
      <c r="H25" s="37" t="str">
        <f>IF(A25=C2,F25,"")</f>
        <v/>
      </c>
      <c r="I25" s="37" t="str">
        <f>IF(A25=D2,E25,"")</f>
        <v/>
      </c>
      <c r="J25" s="37" t="str">
        <f>IF(A25=E2,C25,"")</f>
        <v/>
      </c>
      <c r="K25" s="37"/>
      <c r="L25" s="37" t="str">
        <f>IF(A25=F2,B25,"")</f>
        <v/>
      </c>
      <c r="M25" s="37"/>
      <c r="N25" s="37" t="str">
        <f>IF(A25=G2,E25,"")</f>
        <v/>
      </c>
      <c r="O25" s="37" t="str">
        <f>IF(A25=H2,C25,"")</f>
        <v/>
      </c>
      <c r="P25" s="37"/>
      <c r="Q25" s="37" t="str">
        <f>IF(A25=I2,B25,"")</f>
        <v/>
      </c>
    </row>
    <row r="26" spans="1:17" ht="15.75" thickBot="1" x14ac:dyDescent="0.3">
      <c r="A26" s="41">
        <v>0</v>
      </c>
      <c r="B26" s="42" t="s">
        <v>225</v>
      </c>
      <c r="C26" s="42" t="s">
        <v>225</v>
      </c>
      <c r="D26" s="42" t="s">
        <v>210</v>
      </c>
      <c r="E26" s="42"/>
      <c r="F26" s="43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x14ac:dyDescent="0.25">
      <c r="A27" s="23"/>
      <c r="B27" s="23"/>
      <c r="C27" s="23"/>
      <c r="D27" s="23"/>
      <c r="E27" s="23"/>
      <c r="F27" s="23"/>
      <c r="G27" s="29" t="str">
        <f>CONCATENATE(G17,G18,G19,G20,G21,G22,G23,G24,G25)</f>
        <v/>
      </c>
      <c r="H27" s="29" t="str">
        <f>CONCATENATE(H17,H18,H19,H20,H21,H22,H23,H24,H25)</f>
        <v/>
      </c>
      <c r="I27" s="29" t="str">
        <f>CONCATENATE(I17,I18,I19,I20,I21,I22,I23,I24,I25)</f>
        <v xml:space="preserve">TRESCIENTOS </v>
      </c>
      <c r="J27" s="29" t="str">
        <f>CONCATENATE(J17,J18,J19,J20,J21,J22,J23,J24,J25)</f>
        <v xml:space="preserve">OCHENTA </v>
      </c>
      <c r="K27" s="29" t="str">
        <f>IF(AND(F2&gt;0,E2&gt;2),F28,"")</f>
        <v xml:space="preserve">Y </v>
      </c>
      <c r="L27" s="29" t="str">
        <f>CONCATENATE(L17,L18,L19,L20,L21,L22,L23,L24,L25)</f>
        <v xml:space="preserve">OCHO </v>
      </c>
      <c r="M27" s="29" t="str">
        <f>IF(F2&gt;0,D28,IF(E2&gt;0,D28,IF(D2&gt;0,D28,"")))</f>
        <v xml:space="preserve"> MIL </v>
      </c>
      <c r="N27" s="29" t="str">
        <f>CONCATENATE(N17,N18,N19,N20,N21,N22,N23,N24,N25)</f>
        <v xml:space="preserve">TRESCIENTOS </v>
      </c>
      <c r="O27" s="29" t="str">
        <f>CONCATENATE(O17,O18,O19,O20,O21,O22,O23,O24,O25)</f>
        <v/>
      </c>
      <c r="P27" s="29" t="str">
        <f>IF(AND(I2&gt;0,H2&gt;2),F28,"")</f>
        <v/>
      </c>
      <c r="Q27" s="29" t="str">
        <f>CONCATENATE(Q17,Q18,Q19,Q20,Q21,Q22,Q23,Q24,Q25)</f>
        <v/>
      </c>
    </row>
    <row r="28" spans="1:17" x14ac:dyDescent="0.25">
      <c r="A28" s="23"/>
      <c r="B28" s="39" t="s">
        <v>226</v>
      </c>
      <c r="C28" s="39" t="s">
        <v>227</v>
      </c>
      <c r="D28" s="39" t="s">
        <v>228</v>
      </c>
      <c r="E28" s="39" t="s">
        <v>229</v>
      </c>
      <c r="F28" s="39" t="s">
        <v>230</v>
      </c>
    </row>
    <row r="29" spans="1:17" x14ac:dyDescent="0.25">
      <c r="A29" s="23"/>
      <c r="B29" s="39" t="s">
        <v>226</v>
      </c>
      <c r="C29" s="39" t="s">
        <v>231</v>
      </c>
      <c r="D29" s="39" t="str">
        <f>IF(AND(B2&gt;0,C2&lt;2),E29,IF(AND(B2=1,C2&lt;6),E29,""))</f>
        <v/>
      </c>
      <c r="E29" s="39" t="s">
        <v>232</v>
      </c>
      <c r="F29" s="39" t="str">
        <f>IF(AND(C2&gt;0,B2&gt;2),F28,"")</f>
        <v/>
      </c>
      <c r="G29" s="44" t="s">
        <v>233</v>
      </c>
      <c r="H29" s="45" t="str">
        <f>CONCATENATE(G27,F29,H27,D29,I27,J27,K27,L27,M27,N27,O27,P27,Q27,IF(A3&gt;0,CONCATENATE(" PESOS ",J2,"/100  M.N."),""))</f>
        <v>TRESCIENTOS OCHENTA Y OCHO  MIL TRESCIENTOS  PESOS 00/100  M.N.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17</vt:i4>
      </vt:variant>
    </vt:vector>
  </HeadingPairs>
  <TitlesOfParts>
    <vt:vector size="19" baseType="lpstr">
      <vt:lpstr>Hoja1</vt:lpstr>
      <vt:lpstr>Hoja2</vt:lpstr>
      <vt:lpstr>Hoja1!Área_de_impresión</vt:lpstr>
      <vt:lpstr>Cabina</vt:lpstr>
      <vt:lpstr>Caterpillar</vt:lpstr>
      <vt:lpstr>Cummins</vt:lpstr>
      <vt:lpstr>Detroit</vt:lpstr>
      <vt:lpstr>Diferencial</vt:lpstr>
      <vt:lpstr>Edo_Conserv</vt:lpstr>
      <vt:lpstr>Edo_Consev_Comparables</vt:lpstr>
      <vt:lpstr>Freightliner</vt:lpstr>
      <vt:lpstr>Freno_Motor</vt:lpstr>
      <vt:lpstr>International</vt:lpstr>
      <vt:lpstr>Kenworth</vt:lpstr>
      <vt:lpstr>Marca</vt:lpstr>
      <vt:lpstr>Motor</vt:lpstr>
      <vt:lpstr>Suspensión</vt:lpstr>
      <vt:lpstr>Valor_Rescate</vt:lpstr>
      <vt:lpstr>Volvo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Salado Martínez</dc:creator>
  <cp:lastModifiedBy>Abel Salado Martínez</cp:lastModifiedBy>
  <dcterms:created xsi:type="dcterms:W3CDTF">2014-05-09T18:39:25Z</dcterms:created>
  <dcterms:modified xsi:type="dcterms:W3CDTF">2014-11-10T18:14:34Z</dcterms:modified>
</cp:coreProperties>
</file>