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20" windowWidth="11880" windowHeight="8730"/>
  </bookViews>
  <sheets>
    <sheet name="BASE DE DATOS" sheetId="6" r:id="rId1"/>
    <sheet name="calculos" sheetId="4" r:id="rId2"/>
  </sheets>
  <calcPr calcId="145621"/>
</workbook>
</file>

<file path=xl/calcChain.xml><?xml version="1.0" encoding="utf-8"?>
<calcChain xmlns="http://schemas.openxmlformats.org/spreadsheetml/2006/main">
  <c r="Y2" i="6" l="1"/>
  <c r="Y3" i="6"/>
  <c r="Y4" i="6"/>
  <c r="P2" i="6"/>
  <c r="P3" i="6"/>
  <c r="P4" i="6"/>
  <c r="AB8" i="4" l="1"/>
  <c r="Y8" i="4"/>
  <c r="N9" i="4" l="1"/>
  <c r="O9" i="4"/>
  <c r="P9" i="4"/>
  <c r="R9" i="4"/>
  <c r="S9" i="4"/>
  <c r="U9" i="4"/>
  <c r="V9" i="4"/>
  <c r="W9" i="4"/>
  <c r="X9" i="4"/>
  <c r="Y9" i="4"/>
  <c r="Z9" i="4"/>
  <c r="AA9" i="4"/>
  <c r="AB9" i="4"/>
  <c r="N4" i="4"/>
  <c r="O4" i="4"/>
  <c r="P4" i="4"/>
  <c r="R4" i="4"/>
  <c r="S4" i="4"/>
  <c r="U4" i="4"/>
  <c r="V4" i="4"/>
  <c r="W4" i="4"/>
  <c r="X4" i="4"/>
  <c r="Y4" i="4"/>
  <c r="Z4" i="4"/>
  <c r="AA4" i="4"/>
  <c r="AB4" i="4"/>
  <c r="N5" i="4"/>
  <c r="O5" i="4"/>
  <c r="P5" i="4"/>
  <c r="R5" i="4"/>
  <c r="S5" i="4"/>
  <c r="U5" i="4"/>
  <c r="V5" i="4"/>
  <c r="W5" i="4"/>
  <c r="X5" i="4"/>
  <c r="Y5" i="4"/>
  <c r="Z5" i="4"/>
  <c r="AA5" i="4"/>
  <c r="AB5" i="4"/>
  <c r="N6" i="4"/>
  <c r="O6" i="4"/>
  <c r="P6" i="4"/>
  <c r="R6" i="4"/>
  <c r="S6" i="4"/>
  <c r="U6" i="4"/>
  <c r="V6" i="4"/>
  <c r="W6" i="4"/>
  <c r="X6" i="4"/>
  <c r="Y6" i="4"/>
  <c r="Z6" i="4"/>
  <c r="AA6" i="4"/>
  <c r="AB6" i="4"/>
  <c r="U8" i="4"/>
  <c r="N8" i="4"/>
  <c r="AA8" i="4"/>
  <c r="Z8" i="4"/>
  <c r="W8" i="4"/>
  <c r="X8" i="4"/>
  <c r="V8" i="4"/>
  <c r="R8" i="4"/>
  <c r="S8" i="4"/>
  <c r="P8" i="4"/>
  <c r="O8" i="4"/>
  <c r="G5" i="4"/>
  <c r="G6" i="4"/>
  <c r="G8" i="4"/>
  <c r="G9" i="4"/>
  <c r="G4" i="4"/>
  <c r="F5" i="4"/>
  <c r="F6" i="4"/>
  <c r="F8" i="4"/>
  <c r="F9" i="4"/>
  <c r="F4" i="4"/>
  <c r="K5" i="4"/>
  <c r="K6" i="4"/>
  <c r="K8" i="4"/>
  <c r="K9" i="4"/>
  <c r="K4" i="4"/>
  <c r="J5" i="4"/>
  <c r="J6" i="4"/>
  <c r="J8" i="4"/>
  <c r="J9" i="4"/>
  <c r="J4" i="4"/>
  <c r="I5" i="4"/>
  <c r="I6" i="4"/>
  <c r="I8" i="4"/>
  <c r="I9" i="4"/>
  <c r="I4" i="4"/>
  <c r="B5" i="4"/>
  <c r="B6" i="4"/>
  <c r="B8" i="4"/>
  <c r="B9" i="4"/>
  <c r="B4" i="4"/>
  <c r="A5" i="4"/>
  <c r="A6" i="4"/>
  <c r="A4" i="4"/>
  <c r="A1" i="4"/>
  <c r="C5" i="4"/>
  <c r="C6" i="4"/>
  <c r="C8" i="4"/>
  <c r="C9" i="4"/>
  <c r="C4" i="4"/>
  <c r="D5" i="4"/>
  <c r="D6" i="4"/>
  <c r="D8" i="4"/>
  <c r="D9" i="4"/>
  <c r="D4" i="4"/>
  <c r="L4" i="4" l="1"/>
  <c r="L5" i="4"/>
  <c r="H9" i="4"/>
  <c r="H6" i="4"/>
  <c r="L9" i="4"/>
  <c r="L6" i="4"/>
  <c r="H4" i="4"/>
  <c r="H8" i="4"/>
  <c r="H5" i="4"/>
  <c r="Q8" i="4"/>
  <c r="AC8" i="4"/>
  <c r="T5" i="4"/>
  <c r="Q5" i="4"/>
  <c r="T4" i="4"/>
  <c r="Q4" i="4"/>
  <c r="T6" i="4"/>
  <c r="Q6" i="4"/>
  <c r="T9" i="4"/>
  <c r="Q9" i="4"/>
  <c r="AC6" i="4"/>
  <c r="AC5" i="4"/>
  <c r="AC4" i="4"/>
  <c r="AC9" i="4"/>
  <c r="T8" i="4"/>
  <c r="E4" i="4"/>
  <c r="E9" i="4"/>
  <c r="E6" i="4"/>
  <c r="E8" i="4"/>
  <c r="E5" i="4"/>
  <c r="L8" i="4"/>
  <c r="AD4" i="4" l="1"/>
  <c r="AE4" i="4" s="1"/>
  <c r="AD5" i="4"/>
  <c r="AD6" i="4"/>
  <c r="AD9" i="4"/>
  <c r="AD8" i="4"/>
  <c r="AE8" i="4" l="1"/>
  <c r="AE9" i="4"/>
  <c r="AE6" i="4"/>
  <c r="AE5" i="4"/>
  <c r="M8" i="4" l="1"/>
  <c r="M4" i="4"/>
  <c r="M6" i="4"/>
  <c r="AF8" i="4" l="1"/>
  <c r="AG8" i="4" s="1"/>
  <c r="AF4" i="4"/>
  <c r="AG4" i="4" s="1"/>
  <c r="AF6" i="4"/>
  <c r="AG6" i="4" s="1"/>
  <c r="M5" i="4" l="1"/>
  <c r="AF5" i="4" l="1"/>
  <c r="AG5" i="4" s="1"/>
  <c r="M9" i="4"/>
  <c r="AF9" i="4" l="1"/>
  <c r="AG9" i="4" s="1"/>
</calcChain>
</file>

<file path=xl/sharedStrings.xml><?xml version="1.0" encoding="utf-8"?>
<sst xmlns="http://schemas.openxmlformats.org/spreadsheetml/2006/main" count="99" uniqueCount="80">
  <si>
    <t>ID</t>
  </si>
  <si>
    <t>SEXO</t>
  </si>
  <si>
    <t>GIRO</t>
  </si>
  <si>
    <t>ANTIG</t>
  </si>
  <si>
    <t>UBIC</t>
  </si>
  <si>
    <t>DIST_EST</t>
  </si>
  <si>
    <t>FRU/VER</t>
  </si>
  <si>
    <t>ROP/CAL</t>
  </si>
  <si>
    <t>ACC</t>
  </si>
  <si>
    <t>COM</t>
  </si>
  <si>
    <t>MUS</t>
  </si>
  <si>
    <t>HERR/ART</t>
  </si>
  <si>
    <t>IMAG</t>
  </si>
  <si>
    <t>OBST_VIS</t>
  </si>
  <si>
    <t>OBST_CIRC</t>
  </si>
  <si>
    <t>ABARROTES</t>
  </si>
  <si>
    <t>DIST_PASO</t>
  </si>
  <si>
    <t>DIST_TIAN</t>
  </si>
  <si>
    <t>PUR_05</t>
  </si>
  <si>
    <t>CREMERIA</t>
  </si>
  <si>
    <t>PUR_06</t>
  </si>
  <si>
    <t>COMIDA</t>
  </si>
  <si>
    <t>ALF_01</t>
  </si>
  <si>
    <t>VENTAS</t>
  </si>
  <si>
    <t>DIAS</t>
  </si>
  <si>
    <t>REUB</t>
  </si>
  <si>
    <t>tipo</t>
  </si>
  <si>
    <t>m FRU/VER</t>
  </si>
  <si>
    <t>m ROP/CAL</t>
  </si>
  <si>
    <t>m ACC</t>
  </si>
  <si>
    <t>m JUG</t>
  </si>
  <si>
    <t>m COM</t>
  </si>
  <si>
    <t>m MUS</t>
  </si>
  <si>
    <t>m HERR/ART</t>
  </si>
  <si>
    <t>f_ubica</t>
  </si>
  <si>
    <t>f_distan</t>
  </si>
  <si>
    <t>f_dist_est</t>
  </si>
  <si>
    <t>suma</t>
  </si>
  <si>
    <t>f_g_cerca</t>
  </si>
  <si>
    <t>f_g_molest</t>
  </si>
  <si>
    <t>f_imag</t>
  </si>
  <si>
    <t>f_obst_vis</t>
  </si>
  <si>
    <t>f_obst_circ</t>
  </si>
  <si>
    <t>f_giros</t>
  </si>
  <si>
    <t>f_contex</t>
  </si>
  <si>
    <t>max</t>
  </si>
  <si>
    <t>min</t>
  </si>
  <si>
    <t>maximo</t>
  </si>
  <si>
    <t>minimo</t>
  </si>
  <si>
    <t>RENOM</t>
  </si>
  <si>
    <t>NUEV_N</t>
  </si>
  <si>
    <t>DIF_GIRO</t>
  </si>
  <si>
    <t>f_ubic</t>
  </si>
  <si>
    <t>f_vent</t>
  </si>
  <si>
    <t>f_dias</t>
  </si>
  <si>
    <t>f_renomb</t>
  </si>
  <si>
    <t>f_giro</t>
  </si>
  <si>
    <t>f_reub</t>
  </si>
  <si>
    <t>f_nuevo_neg</t>
  </si>
  <si>
    <t>f_popul_tiang</t>
  </si>
  <si>
    <t>f_ub_paso</t>
  </si>
  <si>
    <t>f_gir_dist</t>
  </si>
  <si>
    <t>f_gir_mol</t>
  </si>
  <si>
    <t>f_obst_vist</t>
  </si>
  <si>
    <t>f_disp_est</t>
  </si>
  <si>
    <t>f_limp_hig</t>
  </si>
  <si>
    <t>f_caract_tian</t>
  </si>
  <si>
    <t>NA</t>
  </si>
  <si>
    <t>f_d_paso/tiang</t>
  </si>
  <si>
    <t>RESULTADOS</t>
  </si>
  <si>
    <t>AFECTACION</t>
  </si>
  <si>
    <t>F_C_GIR_M</t>
  </si>
  <si>
    <t>F_C_LIMP</t>
  </si>
  <si>
    <t>F_C_PAS</t>
  </si>
  <si>
    <t>F_C_GIR_CO</t>
  </si>
  <si>
    <t>F_C_OBST_V</t>
  </si>
  <si>
    <t>F_C_OBST_CIR</t>
  </si>
  <si>
    <t>F_C_F_EST</t>
  </si>
  <si>
    <t>DESEABILIDAD</t>
  </si>
  <si>
    <t>FERR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</si>
</sst>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4" xfId="0" applyBorder="1"/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0" borderId="6" xfId="0" applyBorder="1"/>
    <xf numFmtId="0" fontId="0" fillId="3" borderId="8" xfId="0" applyFill="1" applyBorder="1"/>
    <xf numFmtId="0" fontId="0" fillId="2" borderId="0" xfId="0" applyFill="1" applyBorder="1"/>
    <xf numFmtId="0" fontId="0" fillId="3" borderId="0" xfId="0" applyFill="1" applyBorder="1"/>
    <xf numFmtId="0" fontId="0" fillId="2" borderId="8" xfId="0" applyFill="1" applyBorder="1"/>
    <xf numFmtId="0" fontId="0" fillId="4" borderId="0" xfId="0" applyFill="1" applyBorder="1"/>
    <xf numFmtId="0" fontId="0" fillId="0" borderId="4" xfId="0" applyFill="1" applyBorder="1"/>
    <xf numFmtId="2" fontId="0" fillId="0" borderId="8" xfId="0" applyNumberFormat="1" applyBorder="1"/>
    <xf numFmtId="2" fontId="0" fillId="0" borderId="0" xfId="0" applyNumberFormat="1" applyBorder="1"/>
    <xf numFmtId="0" fontId="0" fillId="5" borderId="7" xfId="0" applyFill="1" applyBorder="1"/>
    <xf numFmtId="0" fontId="0" fillId="5" borderId="9" xfId="0" applyFill="1" applyBorder="1"/>
    <xf numFmtId="2" fontId="0" fillId="5" borderId="9" xfId="0" applyNumberFormat="1" applyFill="1" applyBorder="1"/>
    <xf numFmtId="164" fontId="0" fillId="5" borderId="3" xfId="0" applyNumberFormat="1" applyFill="1" applyBorder="1"/>
    <xf numFmtId="0" fontId="0" fillId="7" borderId="0" xfId="0" applyFill="1" applyBorder="1"/>
    <xf numFmtId="0" fontId="0" fillId="6" borderId="5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 applyAlignment="1">
      <alignment horizontal="center"/>
    </xf>
    <xf numFmtId="0" fontId="0" fillId="6" borderId="9" xfId="0" applyFill="1" applyBorder="1"/>
    <xf numFmtId="2" fontId="0" fillId="6" borderId="8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3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2" fontId="0" fillId="7" borderId="8" xfId="0" applyNumberFormat="1" applyFill="1" applyBorder="1"/>
    <xf numFmtId="2" fontId="0" fillId="7" borderId="1" xfId="0" applyNumberFormat="1" applyFill="1" applyBorder="1"/>
    <xf numFmtId="0" fontId="0" fillId="7" borderId="2" xfId="0" applyFill="1" applyBorder="1"/>
    <xf numFmtId="0" fontId="0" fillId="7" borderId="3" xfId="0" applyFill="1" applyBorder="1"/>
    <xf numFmtId="0" fontId="0" fillId="0" borderId="0" xfId="0" applyAlignment="1"/>
    <xf numFmtId="0" fontId="1" fillId="8" borderId="0" xfId="0" applyFont="1" applyFill="1"/>
    <xf numFmtId="2" fontId="0" fillId="0" borderId="5" xfId="0" applyNumberFormat="1" applyBorder="1"/>
    <xf numFmtId="2" fontId="0" fillId="0" borderId="6" xfId="0" applyNumberFormat="1" applyBorder="1"/>
    <xf numFmtId="2" fontId="0" fillId="5" borderId="7" xfId="0" applyNumberFormat="1" applyFill="1" applyBorder="1"/>
    <xf numFmtId="2" fontId="0" fillId="7" borderId="5" xfId="0" applyNumberFormat="1" applyFill="1" applyBorder="1"/>
    <xf numFmtId="0" fontId="0" fillId="11" borderId="0" xfId="0" applyFill="1"/>
    <xf numFmtId="0" fontId="0" fillId="6" borderId="0" xfId="0" applyFill="1"/>
    <xf numFmtId="0" fontId="0" fillId="12" borderId="0" xfId="0" applyFill="1"/>
    <xf numFmtId="0" fontId="0" fillId="13" borderId="0" xfId="0" applyFill="1"/>
    <xf numFmtId="0" fontId="0" fillId="11" borderId="11" xfId="0" applyFill="1" applyBorder="1"/>
    <xf numFmtId="0" fontId="0" fillId="11" borderId="12" xfId="0" applyFill="1" applyBorder="1"/>
    <xf numFmtId="0" fontId="0" fillId="6" borderId="12" xfId="0" applyFill="1" applyBorder="1"/>
    <xf numFmtId="0" fontId="0" fillId="12" borderId="12" xfId="0" applyFill="1" applyBorder="1"/>
    <xf numFmtId="0" fontId="0" fillId="3" borderId="12" xfId="0" applyFill="1" applyBorder="1"/>
    <xf numFmtId="0" fontId="0" fillId="13" borderId="12" xfId="0" applyFill="1" applyBorder="1"/>
    <xf numFmtId="0" fontId="0" fillId="11" borderId="13" xfId="0" applyFill="1" applyBorder="1"/>
    <xf numFmtId="0" fontId="0" fillId="11" borderId="14" xfId="0" applyFill="1" applyBorder="1"/>
    <xf numFmtId="0" fontId="0" fillId="6" borderId="14" xfId="0" applyFill="1" applyBorder="1"/>
    <xf numFmtId="0" fontId="0" fillId="12" borderId="14" xfId="0" applyFill="1" applyBorder="1"/>
    <xf numFmtId="0" fontId="0" fillId="3" borderId="14" xfId="0" applyFill="1" applyBorder="1"/>
    <xf numFmtId="0" fontId="0" fillId="13" borderId="14" xfId="0" applyFill="1" applyBorder="1"/>
    <xf numFmtId="0" fontId="0" fillId="3" borderId="16" xfId="0" applyFill="1" applyBorder="1"/>
    <xf numFmtId="0" fontId="0" fillId="13" borderId="10" xfId="0" applyFill="1" applyBorder="1"/>
    <xf numFmtId="0" fontId="2" fillId="11" borderId="0" xfId="0" applyFont="1" applyFill="1" applyBorder="1" applyAlignment="1">
      <alignment textRotation="90"/>
    </xf>
    <xf numFmtId="0" fontId="2" fillId="3" borderId="0" xfId="0" applyFont="1" applyFill="1" applyBorder="1" applyAlignment="1">
      <alignment horizontal="center" textRotation="90"/>
    </xf>
    <xf numFmtId="0" fontId="2" fillId="3" borderId="15" xfId="0" applyFont="1" applyFill="1" applyBorder="1" applyAlignment="1">
      <alignment horizontal="center" textRotation="90"/>
    </xf>
    <xf numFmtId="0" fontId="2" fillId="13" borderId="0" xfId="0" applyFont="1" applyFill="1" applyBorder="1" applyAlignment="1">
      <alignment horizontal="center" textRotation="90"/>
    </xf>
    <xf numFmtId="0" fontId="2" fillId="13" borderId="15" xfId="0" applyFont="1" applyFill="1" applyBorder="1" applyAlignment="1">
      <alignment horizontal="center" textRotation="90"/>
    </xf>
    <xf numFmtId="0" fontId="2" fillId="11" borderId="0" xfId="0" applyFont="1" applyFill="1" applyBorder="1" applyAlignment="1">
      <alignment horizontal="center" textRotation="90"/>
    </xf>
    <xf numFmtId="0" fontId="2" fillId="6" borderId="0" xfId="0" applyFont="1" applyFill="1" applyBorder="1" applyAlignment="1">
      <alignment horizontal="center" textRotation="90"/>
    </xf>
    <xf numFmtId="0" fontId="2" fillId="12" borderId="0" xfId="0" applyFont="1" applyFill="1" applyBorder="1" applyAlignment="1">
      <alignment horizontal="center" textRotation="90"/>
    </xf>
    <xf numFmtId="0" fontId="0" fillId="11" borderId="12" xfId="0" applyFill="1" applyBorder="1" applyAlignment="1"/>
    <xf numFmtId="0" fontId="0" fillId="11" borderId="0" xfId="0" applyFill="1" applyAlignment="1"/>
    <xf numFmtId="0" fontId="0" fillId="11" borderId="14" xfId="0" applyFill="1" applyBorder="1" applyAlignment="1"/>
    <xf numFmtId="0" fontId="0" fillId="7" borderId="6" xfId="0" applyFill="1" applyBorder="1" applyAlignment="1">
      <alignment textRotation="90"/>
    </xf>
    <xf numFmtId="0" fontId="1" fillId="7" borderId="0" xfId="0" applyFont="1" applyFill="1" applyBorder="1"/>
    <xf numFmtId="0" fontId="0" fillId="9" borderId="6" xfId="0" applyFill="1" applyBorder="1" applyAlignment="1">
      <alignment textRotation="90"/>
    </xf>
    <xf numFmtId="0" fontId="0" fillId="9" borderId="7" xfId="0" applyFill="1" applyBorder="1" applyAlignment="1">
      <alignment textRotation="90"/>
    </xf>
    <xf numFmtId="0" fontId="1" fillId="9" borderId="0" xfId="0" applyFont="1" applyFill="1" applyBorder="1"/>
    <xf numFmtId="0" fontId="0" fillId="9" borderId="0" xfId="0" applyFill="1" applyBorder="1"/>
    <xf numFmtId="0" fontId="0" fillId="9" borderId="9" xfId="0" applyFill="1" applyBorder="1"/>
    <xf numFmtId="0" fontId="0" fillId="10" borderId="5" xfId="0" applyFill="1" applyBorder="1" applyAlignment="1">
      <alignment textRotation="90"/>
    </xf>
    <xf numFmtId="0" fontId="0" fillId="10" borderId="8" xfId="0" applyFill="1" applyBorder="1"/>
    <xf numFmtId="0" fontId="0" fillId="0" borderId="0" xfId="0" applyFill="1" applyAlignment="1"/>
    <xf numFmtId="165" fontId="0" fillId="6" borderId="5" xfId="0" applyNumberForma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09D1"/>
      <color rgb="FFB80000"/>
      <color rgb="FFF2902E"/>
      <color rgb="FFEA14AD"/>
      <color rgb="FF9150AE"/>
      <color rgb="FFB94579"/>
      <color rgb="FFF37DE2"/>
      <color rgb="FFDED3FD"/>
      <color rgb="FFF7D6FA"/>
      <color rgb="FF10A8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abSelected="1" zoomScale="70" zoomScaleNormal="70" workbookViewId="0">
      <pane ySplit="1" topLeftCell="A2" activePane="bottomLeft" state="frozen"/>
      <selection activeCell="AO1" sqref="AO1"/>
      <selection pane="bottomLeft" activeCell="D27" sqref="D27"/>
    </sheetView>
  </sheetViews>
  <sheetFormatPr baseColWidth="10" defaultRowHeight="15" x14ac:dyDescent="0.25"/>
  <cols>
    <col min="1" max="1" width="9.28515625" bestFit="1" customWidth="1"/>
    <col min="2" max="2" width="6.7109375" style="38" customWidth="1"/>
    <col min="3" max="3" width="7.28515625" customWidth="1"/>
    <col min="4" max="4" width="41.7109375" bestFit="1" customWidth="1"/>
    <col min="5" max="28" width="6.7109375" customWidth="1"/>
    <col min="29" max="37" width="9.7109375" customWidth="1"/>
    <col min="38" max="38" width="12" bestFit="1" customWidth="1"/>
    <col min="39" max="39" width="13.5703125" bestFit="1" customWidth="1"/>
    <col min="40" max="44" width="9.7109375" customWidth="1"/>
  </cols>
  <sheetData>
    <row r="1" spans="1:44" ht="92.25" x14ac:dyDescent="0.25">
      <c r="A1" s="67" t="s">
        <v>0</v>
      </c>
      <c r="B1" s="62" t="s">
        <v>1</v>
      </c>
      <c r="C1" s="67" t="s">
        <v>3</v>
      </c>
      <c r="D1" s="67" t="s">
        <v>2</v>
      </c>
      <c r="E1" s="67" t="s">
        <v>26</v>
      </c>
      <c r="F1" s="68" t="s">
        <v>4</v>
      </c>
      <c r="G1" s="69" t="s">
        <v>16</v>
      </c>
      <c r="H1" s="69" t="s">
        <v>17</v>
      </c>
      <c r="I1" s="69" t="s">
        <v>5</v>
      </c>
      <c r="J1" s="63" t="s">
        <v>6</v>
      </c>
      <c r="K1" s="63" t="s">
        <v>7</v>
      </c>
      <c r="L1" s="63" t="s">
        <v>8</v>
      </c>
      <c r="M1" s="63" t="s">
        <v>79</v>
      </c>
      <c r="N1" s="63" t="s">
        <v>9</v>
      </c>
      <c r="O1" s="63" t="s">
        <v>10</v>
      </c>
      <c r="P1" s="64" t="s">
        <v>37</v>
      </c>
      <c r="Q1" s="65" t="s">
        <v>11</v>
      </c>
      <c r="R1" s="65" t="s">
        <v>27</v>
      </c>
      <c r="S1" s="65" t="s">
        <v>28</v>
      </c>
      <c r="T1" s="65" t="s">
        <v>29</v>
      </c>
      <c r="U1" s="65" t="s">
        <v>30</v>
      </c>
      <c r="V1" s="65" t="s">
        <v>31</v>
      </c>
      <c r="W1" s="65" t="s">
        <v>32</v>
      </c>
      <c r="X1" s="65" t="s">
        <v>33</v>
      </c>
      <c r="Y1" s="66" t="s">
        <v>37</v>
      </c>
      <c r="Z1" s="68" t="s">
        <v>12</v>
      </c>
      <c r="AA1" s="68" t="s">
        <v>13</v>
      </c>
      <c r="AB1" s="68" t="s">
        <v>14</v>
      </c>
      <c r="AC1" s="80" t="s">
        <v>23</v>
      </c>
      <c r="AD1" s="73" t="s">
        <v>24</v>
      </c>
      <c r="AE1" s="73" t="s">
        <v>49</v>
      </c>
      <c r="AF1" s="75" t="s">
        <v>25</v>
      </c>
      <c r="AG1" s="75" t="s">
        <v>50</v>
      </c>
      <c r="AH1" s="73" t="s">
        <v>51</v>
      </c>
      <c r="AI1" s="75" t="s">
        <v>73</v>
      </c>
      <c r="AJ1" s="75" t="s">
        <v>74</v>
      </c>
      <c r="AK1" s="75" t="s">
        <v>71</v>
      </c>
      <c r="AL1" s="75" t="s">
        <v>75</v>
      </c>
      <c r="AM1" s="75" t="s">
        <v>76</v>
      </c>
      <c r="AN1" s="75" t="s">
        <v>72</v>
      </c>
      <c r="AO1" s="76" t="s">
        <v>77</v>
      </c>
      <c r="AP1" s="5"/>
      <c r="AQ1" s="5"/>
      <c r="AR1" s="5"/>
    </row>
    <row r="2" spans="1:44" x14ac:dyDescent="0.25">
      <c r="A2" s="48" t="s">
        <v>22</v>
      </c>
      <c r="B2" s="70">
        <v>2</v>
      </c>
      <c r="C2" s="49">
        <v>5</v>
      </c>
      <c r="D2" s="49" t="s">
        <v>15</v>
      </c>
      <c r="E2" s="49">
        <v>2</v>
      </c>
      <c r="F2" s="50">
        <v>4</v>
      </c>
      <c r="G2" s="51" t="s">
        <v>67</v>
      </c>
      <c r="H2" s="51">
        <v>10</v>
      </c>
      <c r="I2" s="51">
        <v>10</v>
      </c>
      <c r="J2" s="52" t="s">
        <v>67</v>
      </c>
      <c r="K2" s="52" t="s">
        <v>67</v>
      </c>
      <c r="L2" s="52" t="s">
        <v>67</v>
      </c>
      <c r="M2" s="52" t="s">
        <v>67</v>
      </c>
      <c r="N2" s="52" t="s">
        <v>67</v>
      </c>
      <c r="O2" s="52" t="s">
        <v>67</v>
      </c>
      <c r="P2" s="60">
        <f t="shared" ref="P2:P3" si="0">SUM(J2:O2)</f>
        <v>0</v>
      </c>
      <c r="Q2" s="53"/>
      <c r="R2" s="53"/>
      <c r="S2" s="53"/>
      <c r="T2" s="53"/>
      <c r="U2" s="53"/>
      <c r="V2" s="53"/>
      <c r="W2" s="53"/>
      <c r="X2" s="53"/>
      <c r="Y2" s="61">
        <f t="shared" ref="Y2:Y3" si="1">SUM(Q2:X2)</f>
        <v>0</v>
      </c>
      <c r="Z2" s="50">
        <v>7</v>
      </c>
      <c r="AA2" s="50">
        <v>1</v>
      </c>
      <c r="AB2" s="50">
        <v>3</v>
      </c>
      <c r="AC2" s="81">
        <v>10</v>
      </c>
      <c r="AD2" s="21">
        <v>7</v>
      </c>
      <c r="AE2" s="21">
        <v>2</v>
      </c>
      <c r="AF2" s="77">
        <v>6</v>
      </c>
      <c r="AG2" s="77">
        <v>4</v>
      </c>
      <c r="AH2" s="74">
        <v>10</v>
      </c>
      <c r="AI2" s="77">
        <v>2</v>
      </c>
      <c r="AJ2" s="78">
        <v>2</v>
      </c>
      <c r="AK2" s="78">
        <v>2</v>
      </c>
      <c r="AL2" s="78">
        <v>5</v>
      </c>
      <c r="AM2" s="78">
        <v>2</v>
      </c>
      <c r="AN2" s="78">
        <v>2</v>
      </c>
      <c r="AO2" s="79">
        <v>5</v>
      </c>
      <c r="AP2" s="6"/>
      <c r="AQ2" s="6"/>
      <c r="AR2" s="6"/>
    </row>
    <row r="3" spans="1:44" x14ac:dyDescent="0.25">
      <c r="A3" s="54" t="s">
        <v>18</v>
      </c>
      <c r="B3" s="72">
        <v>2</v>
      </c>
      <c r="C3" s="55">
        <v>35</v>
      </c>
      <c r="D3" s="55" t="s">
        <v>19</v>
      </c>
      <c r="E3" s="55">
        <v>2</v>
      </c>
      <c r="F3" s="56">
        <v>4</v>
      </c>
      <c r="G3" s="57" t="s">
        <v>67</v>
      </c>
      <c r="H3" s="57">
        <v>10</v>
      </c>
      <c r="I3" s="57">
        <v>5</v>
      </c>
      <c r="J3" s="58" t="s">
        <v>67</v>
      </c>
      <c r="K3" s="58" t="s">
        <v>67</v>
      </c>
      <c r="L3" s="58" t="s">
        <v>67</v>
      </c>
      <c r="M3" s="58" t="s">
        <v>67</v>
      </c>
      <c r="N3" s="58" t="s">
        <v>67</v>
      </c>
      <c r="O3" s="58" t="s">
        <v>67</v>
      </c>
      <c r="P3" s="60">
        <f t="shared" si="0"/>
        <v>0</v>
      </c>
      <c r="Q3" s="59"/>
      <c r="R3" s="59">
        <v>1</v>
      </c>
      <c r="S3" s="59"/>
      <c r="T3" s="59"/>
      <c r="U3" s="59"/>
      <c r="V3" s="59"/>
      <c r="W3" s="59">
        <v>1</v>
      </c>
      <c r="X3" s="59"/>
      <c r="Y3" s="61">
        <f t="shared" si="1"/>
        <v>2</v>
      </c>
      <c r="Z3" s="56">
        <v>2</v>
      </c>
      <c r="AA3" s="56">
        <v>1</v>
      </c>
      <c r="AB3" s="56">
        <v>1</v>
      </c>
      <c r="AC3" s="81">
        <v>4</v>
      </c>
      <c r="AD3" s="21">
        <v>1</v>
      </c>
      <c r="AE3" s="21">
        <v>1</v>
      </c>
      <c r="AF3" s="77">
        <v>6</v>
      </c>
      <c r="AG3" s="77">
        <v>4</v>
      </c>
      <c r="AH3" s="74">
        <v>10</v>
      </c>
      <c r="AI3" s="77">
        <v>2</v>
      </c>
      <c r="AJ3" s="78">
        <v>2</v>
      </c>
      <c r="AK3" s="78">
        <v>1</v>
      </c>
      <c r="AL3" s="78">
        <v>5</v>
      </c>
      <c r="AM3" s="78">
        <v>2</v>
      </c>
      <c r="AN3" s="78">
        <v>1</v>
      </c>
      <c r="AO3" s="79">
        <v>3</v>
      </c>
      <c r="AP3" s="6"/>
      <c r="AQ3" s="6"/>
      <c r="AR3" s="6"/>
    </row>
    <row r="4" spans="1:44" x14ac:dyDescent="0.25">
      <c r="A4" s="44" t="s">
        <v>20</v>
      </c>
      <c r="B4" s="71">
        <v>1</v>
      </c>
      <c r="C4" s="44">
        <v>18</v>
      </c>
      <c r="D4" s="44" t="s">
        <v>21</v>
      </c>
      <c r="E4" s="44">
        <v>1</v>
      </c>
      <c r="F4" s="45">
        <v>7</v>
      </c>
      <c r="G4" s="46">
        <v>0</v>
      </c>
      <c r="H4" s="46" t="s">
        <v>67</v>
      </c>
      <c r="I4" s="46">
        <v>120</v>
      </c>
      <c r="J4" s="2"/>
      <c r="K4" s="2"/>
      <c r="L4" s="2"/>
      <c r="M4" s="2"/>
      <c r="N4" s="2">
        <v>2</v>
      </c>
      <c r="O4" s="2"/>
      <c r="P4" s="60">
        <f>SUM(J4:O4)</f>
        <v>2</v>
      </c>
      <c r="Q4" s="47"/>
      <c r="R4" s="47"/>
      <c r="S4" s="47"/>
      <c r="T4" s="47"/>
      <c r="U4" s="47"/>
      <c r="V4" s="47"/>
      <c r="W4" s="47"/>
      <c r="X4" s="47"/>
      <c r="Y4" s="61">
        <f>SUM(Q4:X4)</f>
        <v>0</v>
      </c>
      <c r="Z4" s="45">
        <v>1</v>
      </c>
      <c r="AA4" s="45">
        <v>10</v>
      </c>
      <c r="AB4" s="45">
        <v>1</v>
      </c>
      <c r="AC4" s="81">
        <v>4</v>
      </c>
      <c r="AD4" s="21">
        <v>7</v>
      </c>
      <c r="AE4" s="21">
        <v>2</v>
      </c>
      <c r="AF4" s="77">
        <v>6</v>
      </c>
      <c r="AG4" s="77">
        <v>4</v>
      </c>
      <c r="AH4" s="74">
        <v>10</v>
      </c>
      <c r="AI4" s="77">
        <v>3</v>
      </c>
      <c r="AJ4" s="78">
        <v>3</v>
      </c>
      <c r="AK4" s="78">
        <v>1</v>
      </c>
      <c r="AL4" s="78">
        <v>3</v>
      </c>
      <c r="AM4" s="78">
        <v>1</v>
      </c>
      <c r="AN4" s="78">
        <v>2</v>
      </c>
      <c r="AO4" s="79">
        <v>3</v>
      </c>
      <c r="AP4" s="6"/>
      <c r="AQ4" s="6"/>
      <c r="AR4" s="6"/>
    </row>
    <row r="5" spans="1:44" x14ac:dyDescent="0.25">
      <c r="A5" s="6"/>
      <c r="B5" s="8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39"/>
      <c r="AG5" s="39"/>
      <c r="AH5" s="39"/>
      <c r="AI5" s="39"/>
      <c r="AJ5" s="6"/>
      <c r="AK5" s="6"/>
      <c r="AL5" s="6"/>
      <c r="AM5" s="6"/>
      <c r="AN5" s="6"/>
      <c r="AO5" s="6"/>
      <c r="AP5" s="6"/>
      <c r="AQ5" s="6"/>
      <c r="AR5" s="6"/>
    </row>
    <row r="6" spans="1:44" x14ac:dyDescent="0.25">
      <c r="D6" s="3" t="s">
        <v>47</v>
      </c>
      <c r="E6" s="3">
        <v>1</v>
      </c>
      <c r="F6" s="3">
        <v>10</v>
      </c>
      <c r="G6" s="3">
        <v>20</v>
      </c>
      <c r="H6" s="3">
        <v>0</v>
      </c>
      <c r="I6" s="3">
        <v>150</v>
      </c>
      <c r="J6" s="3"/>
      <c r="K6" s="3"/>
      <c r="L6" s="3"/>
      <c r="M6" s="3"/>
      <c r="N6" s="3"/>
      <c r="O6" s="3"/>
      <c r="P6" s="3">
        <v>10</v>
      </c>
      <c r="Q6" s="3">
        <v>0</v>
      </c>
      <c r="R6" s="3"/>
      <c r="S6" s="3"/>
      <c r="T6" s="3"/>
      <c r="U6" s="3"/>
      <c r="V6" s="3"/>
      <c r="W6" s="3"/>
      <c r="X6" s="3"/>
      <c r="Y6" s="3">
        <v>10</v>
      </c>
      <c r="Z6" s="3">
        <v>10</v>
      </c>
      <c r="AA6" s="3">
        <v>10</v>
      </c>
      <c r="AB6" s="3">
        <v>10</v>
      </c>
      <c r="AC6" s="14">
        <v>4</v>
      </c>
      <c r="AD6" s="13">
        <v>1</v>
      </c>
      <c r="AE6" s="13">
        <v>1</v>
      </c>
      <c r="AF6" s="13">
        <v>2</v>
      </c>
      <c r="AG6" s="13">
        <v>1</v>
      </c>
      <c r="AH6" s="13">
        <v>4</v>
      </c>
      <c r="AI6" s="13">
        <v>1</v>
      </c>
      <c r="AJ6" s="13">
        <v>1</v>
      </c>
      <c r="AK6" s="13">
        <v>1</v>
      </c>
      <c r="AL6" s="13">
        <v>3</v>
      </c>
      <c r="AM6" s="13">
        <v>1</v>
      </c>
      <c r="AN6" s="13">
        <v>1</v>
      </c>
      <c r="AO6" s="13">
        <v>3</v>
      </c>
      <c r="AP6" s="5"/>
      <c r="AQ6" s="5"/>
      <c r="AR6" s="5"/>
    </row>
    <row r="7" spans="1:44" x14ac:dyDescent="0.25">
      <c r="D7" s="3" t="s">
        <v>48</v>
      </c>
      <c r="E7" s="3">
        <v>2</v>
      </c>
      <c r="F7" s="3">
        <v>4</v>
      </c>
      <c r="G7" s="3"/>
      <c r="H7" s="3">
        <v>150</v>
      </c>
      <c r="I7" s="3">
        <v>1</v>
      </c>
      <c r="J7" s="3"/>
      <c r="K7" s="3"/>
      <c r="L7" s="3"/>
      <c r="M7" s="3"/>
      <c r="N7" s="3"/>
      <c r="O7" s="3"/>
      <c r="P7" s="3">
        <v>0</v>
      </c>
      <c r="Q7" s="3"/>
      <c r="R7" s="3"/>
      <c r="S7" s="3"/>
      <c r="T7" s="3"/>
      <c r="U7" s="3"/>
      <c r="V7" s="3"/>
      <c r="W7" s="3"/>
      <c r="X7" s="3"/>
      <c r="Y7" s="3">
        <v>0</v>
      </c>
      <c r="Z7" s="3">
        <v>1</v>
      </c>
      <c r="AA7" s="3">
        <v>1</v>
      </c>
      <c r="AB7" s="3">
        <v>1</v>
      </c>
      <c r="AC7" s="14">
        <v>10</v>
      </c>
      <c r="AD7" s="13">
        <v>7</v>
      </c>
      <c r="AE7" s="13">
        <v>3</v>
      </c>
      <c r="AF7" s="13">
        <v>6</v>
      </c>
      <c r="AG7" s="13">
        <v>4</v>
      </c>
      <c r="AH7" s="13">
        <v>10</v>
      </c>
      <c r="AI7" s="13">
        <v>3</v>
      </c>
      <c r="AJ7" s="13">
        <v>3</v>
      </c>
      <c r="AK7" s="13">
        <v>3</v>
      </c>
      <c r="AL7" s="13">
        <v>7</v>
      </c>
      <c r="AM7" s="13">
        <v>3</v>
      </c>
      <c r="AN7" s="13">
        <v>3</v>
      </c>
      <c r="AO7" s="13">
        <v>7</v>
      </c>
      <c r="AP7" s="5"/>
      <c r="AQ7" s="5"/>
      <c r="AR7" s="5"/>
    </row>
    <row r="8" spans="1:44" x14ac:dyDescent="0.25">
      <c r="AC8" s="4"/>
    </row>
    <row r="9" spans="1:44" x14ac:dyDescent="0.25">
      <c r="AC9" s="4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x14ac:dyDescent="0.25">
      <c r="AC10" s="4"/>
      <c r="AI10" s="6"/>
      <c r="AJ10" s="6"/>
      <c r="AM10" s="6"/>
      <c r="AN10" s="6"/>
      <c r="AR10" s="6"/>
    </row>
    <row r="11" spans="1:44" x14ac:dyDescent="0.25">
      <c r="AC11" s="4"/>
      <c r="AI11" s="6"/>
      <c r="AJ11" s="6"/>
      <c r="AM11" s="6"/>
      <c r="AN11" s="6"/>
      <c r="AR11" s="6"/>
    </row>
    <row r="12" spans="1:44" x14ac:dyDescent="0.25">
      <c r="AC12" s="4"/>
      <c r="AI12" s="6"/>
      <c r="AJ12" s="6"/>
      <c r="AM12" s="6"/>
      <c r="AN12" s="6"/>
      <c r="AR12" s="6"/>
    </row>
    <row r="13" spans="1:44" x14ac:dyDescent="0.25">
      <c r="AC13" s="4"/>
      <c r="AI13" s="6"/>
      <c r="AJ13" s="6"/>
      <c r="AM13" s="6"/>
      <c r="AN13" s="6"/>
      <c r="AR13" s="6"/>
    </row>
    <row r="14" spans="1:44" x14ac:dyDescent="0.25">
      <c r="AC14" s="4"/>
      <c r="AI14" s="6"/>
      <c r="AJ14" s="6"/>
      <c r="AM14" s="6"/>
      <c r="AN14" s="6"/>
      <c r="AR14" s="6"/>
    </row>
    <row r="15" spans="1:44" x14ac:dyDescent="0.25">
      <c r="AC15" s="4"/>
      <c r="AI15" s="6"/>
      <c r="AJ15" s="6"/>
      <c r="AM15" s="6"/>
      <c r="AN15" s="6"/>
      <c r="AR15" s="6"/>
    </row>
    <row r="16" spans="1:44" x14ac:dyDescent="0.25">
      <c r="AC16" s="4"/>
      <c r="AN16" s="6"/>
      <c r="AP16" s="6"/>
      <c r="AQ16" s="6"/>
      <c r="AR16" s="6"/>
    </row>
    <row r="17" spans="29:45" x14ac:dyDescent="0.25">
      <c r="AC17" s="4"/>
      <c r="AN17" s="6"/>
      <c r="AP17" s="6"/>
      <c r="AQ17" s="6"/>
      <c r="AR17" s="6"/>
    </row>
    <row r="18" spans="29:45" x14ac:dyDescent="0.25">
      <c r="AC18" s="4"/>
      <c r="AM18" s="6"/>
      <c r="AN18" s="6"/>
      <c r="AP18" s="6"/>
      <c r="AQ18" s="6"/>
      <c r="AR18" s="6"/>
    </row>
    <row r="19" spans="29:45" x14ac:dyDescent="0.25">
      <c r="AC19" s="4"/>
      <c r="AN19" s="6"/>
      <c r="AO19" s="6"/>
      <c r="AP19" s="6"/>
      <c r="AQ19" s="6"/>
      <c r="AR19" s="6"/>
    </row>
    <row r="20" spans="29:45" x14ac:dyDescent="0.25">
      <c r="AC20" s="4"/>
      <c r="AN20" s="6"/>
      <c r="AO20" s="6"/>
      <c r="AP20" s="6"/>
      <c r="AQ20" s="6"/>
      <c r="AR20" s="6"/>
    </row>
    <row r="21" spans="29:45" x14ac:dyDescent="0.25">
      <c r="AC21" s="4"/>
      <c r="AL21" s="6"/>
      <c r="AM21" s="6"/>
      <c r="AN21" s="6"/>
      <c r="AO21" s="6"/>
      <c r="AP21" s="6"/>
      <c r="AQ21" s="6"/>
      <c r="AR21" s="6"/>
      <c r="AS21" s="6"/>
    </row>
    <row r="22" spans="29:45" x14ac:dyDescent="0.25">
      <c r="AC22" s="4"/>
      <c r="AL22" s="6"/>
      <c r="AM22" s="6"/>
      <c r="AN22" s="6"/>
      <c r="AO22" s="6"/>
      <c r="AP22" s="6"/>
      <c r="AQ22" s="6"/>
      <c r="AR22" s="6"/>
      <c r="AS22" s="6"/>
    </row>
    <row r="23" spans="29:45" x14ac:dyDescent="0.25">
      <c r="AC23" s="4"/>
      <c r="AL23" s="6"/>
      <c r="AM23" s="6"/>
      <c r="AN23" s="6"/>
      <c r="AO23" s="6"/>
      <c r="AP23" s="6"/>
      <c r="AQ23" s="6"/>
      <c r="AR23" s="6"/>
      <c r="AS23" s="6"/>
    </row>
    <row r="24" spans="29:45" x14ac:dyDescent="0.25">
      <c r="AC24" s="4"/>
      <c r="AL24" s="6"/>
      <c r="AM24" s="6"/>
      <c r="AN24" s="5"/>
      <c r="AO24" s="5"/>
      <c r="AP24" s="5"/>
      <c r="AQ24" s="5"/>
      <c r="AR24" s="5"/>
      <c r="AS24" s="6"/>
    </row>
    <row r="25" spans="29:45" x14ac:dyDescent="0.25">
      <c r="AC25" s="4"/>
      <c r="AL25" s="6"/>
      <c r="AM25" s="6"/>
      <c r="AN25" s="5"/>
      <c r="AO25" s="5"/>
      <c r="AP25" s="5"/>
      <c r="AQ25" s="5"/>
      <c r="AR25" s="5"/>
      <c r="AS25" s="6"/>
    </row>
    <row r="26" spans="29:45" x14ac:dyDescent="0.25">
      <c r="AC26" s="4"/>
      <c r="AL26" s="6"/>
      <c r="AM26" s="6"/>
      <c r="AN26" s="6"/>
      <c r="AO26" s="6"/>
      <c r="AP26" s="6"/>
      <c r="AQ26" s="6"/>
      <c r="AR26" s="6"/>
      <c r="AS26" s="6"/>
    </row>
    <row r="27" spans="29:45" x14ac:dyDescent="0.25">
      <c r="AC27" s="4"/>
      <c r="AL27" s="6"/>
      <c r="AM27" s="6"/>
      <c r="AN27" s="6"/>
      <c r="AO27" s="6"/>
      <c r="AP27" s="6"/>
      <c r="AQ27" s="6"/>
      <c r="AR27" s="6"/>
      <c r="AS27" s="6"/>
    </row>
    <row r="28" spans="29:45" x14ac:dyDescent="0.25">
      <c r="AC28" s="4"/>
      <c r="AL28" s="6"/>
      <c r="AM28" s="6"/>
      <c r="AN28" s="6"/>
      <c r="AO28" s="6"/>
      <c r="AP28" s="6"/>
      <c r="AQ28" s="6"/>
      <c r="AR28" s="6"/>
      <c r="AS28" s="6"/>
    </row>
    <row r="29" spans="29:45" x14ac:dyDescent="0.25">
      <c r="AC29" s="4"/>
    </row>
    <row r="30" spans="29:45" x14ac:dyDescent="0.25">
      <c r="AC30" s="4"/>
    </row>
    <row r="31" spans="29:45" x14ac:dyDescent="0.25">
      <c r="AC31" s="4"/>
    </row>
    <row r="32" spans="29:45" x14ac:dyDescent="0.25">
      <c r="AC32" s="4"/>
    </row>
    <row r="33" spans="29:29" x14ac:dyDescent="0.25">
      <c r="AC33" s="4"/>
    </row>
    <row r="34" spans="29:29" x14ac:dyDescent="0.25">
      <c r="AC34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zoomScale="80" zoomScaleNormal="80" workbookViewId="0">
      <pane xSplit="1" topLeftCell="B1" activePane="topRight" state="frozen"/>
      <selection pane="topRight" activeCell="A6" sqref="A6"/>
    </sheetView>
  </sheetViews>
  <sheetFormatPr baseColWidth="10" defaultRowHeight="15" x14ac:dyDescent="0.25"/>
  <cols>
    <col min="9" max="9" width="11.85546875" bestFit="1" customWidth="1"/>
    <col min="13" max="13" width="12.28515625" bestFit="1" customWidth="1"/>
    <col min="30" max="30" width="14.85546875" bestFit="1" customWidth="1"/>
    <col min="31" max="31" width="15.42578125" customWidth="1"/>
    <col min="32" max="32" width="13.140625" bestFit="1" customWidth="1"/>
    <col min="34" max="34" width="6.28515625" customWidth="1"/>
  </cols>
  <sheetData>
    <row r="1" spans="1:34" x14ac:dyDescent="0.25">
      <c r="A1" t="str">
        <f>'BASE DE DATOS'!A1</f>
        <v>ID</v>
      </c>
      <c r="B1" s="7" t="s">
        <v>34</v>
      </c>
      <c r="C1" s="8" t="s">
        <v>68</v>
      </c>
      <c r="D1" s="8" t="s">
        <v>36</v>
      </c>
      <c r="E1" s="8" t="s">
        <v>35</v>
      </c>
      <c r="F1" s="8" t="s">
        <v>38</v>
      </c>
      <c r="G1" s="8" t="s">
        <v>39</v>
      </c>
      <c r="H1" s="8" t="s">
        <v>43</v>
      </c>
      <c r="I1" s="8" t="s">
        <v>40</v>
      </c>
      <c r="J1" s="8" t="s">
        <v>41</v>
      </c>
      <c r="K1" s="8" t="s">
        <v>42</v>
      </c>
      <c r="L1" s="8" t="s">
        <v>44</v>
      </c>
      <c r="M1" s="17" t="s">
        <v>69</v>
      </c>
      <c r="N1" s="5" t="s">
        <v>53</v>
      </c>
      <c r="O1" s="5" t="s">
        <v>54</v>
      </c>
      <c r="P1" s="5" t="s">
        <v>55</v>
      </c>
      <c r="Q1" s="5" t="s">
        <v>59</v>
      </c>
      <c r="R1" s="5" t="s">
        <v>57</v>
      </c>
      <c r="S1" s="5" t="s">
        <v>58</v>
      </c>
      <c r="T1" s="5" t="s">
        <v>52</v>
      </c>
      <c r="U1" s="5" t="s">
        <v>56</v>
      </c>
      <c r="V1" s="5" t="s">
        <v>60</v>
      </c>
      <c r="W1" s="5" t="s">
        <v>61</v>
      </c>
      <c r="X1" s="5" t="s">
        <v>62</v>
      </c>
      <c r="Y1" s="5" t="s">
        <v>63</v>
      </c>
      <c r="Z1" s="5" t="s">
        <v>42</v>
      </c>
      <c r="AA1" s="5" t="s">
        <v>65</v>
      </c>
      <c r="AB1" s="5" t="s">
        <v>64</v>
      </c>
      <c r="AC1" s="5" t="s">
        <v>66</v>
      </c>
      <c r="AD1" s="22" t="s">
        <v>69</v>
      </c>
      <c r="AE1" s="23"/>
      <c r="AF1" s="29" t="s">
        <v>69</v>
      </c>
      <c r="AG1" s="30"/>
      <c r="AH1" s="31"/>
    </row>
    <row r="2" spans="1:34" s="1" customFormat="1" x14ac:dyDescent="0.25">
      <c r="B2" s="9">
        <v>0.3</v>
      </c>
      <c r="C2" s="10">
        <v>20</v>
      </c>
      <c r="D2" s="10">
        <v>150</v>
      </c>
      <c r="E2" s="11">
        <v>0.3</v>
      </c>
      <c r="F2" s="10"/>
      <c r="G2" s="10"/>
      <c r="H2" s="11">
        <v>0.1</v>
      </c>
      <c r="I2" s="10">
        <v>10</v>
      </c>
      <c r="J2" s="10">
        <v>10</v>
      </c>
      <c r="K2" s="10">
        <v>10</v>
      </c>
      <c r="L2" s="11">
        <v>0.3</v>
      </c>
      <c r="M2" s="18" t="s">
        <v>70</v>
      </c>
      <c r="N2" s="2">
        <v>0.2</v>
      </c>
      <c r="Q2" s="2">
        <v>0.1</v>
      </c>
      <c r="T2" s="2">
        <v>0.3</v>
      </c>
      <c r="U2" s="2">
        <v>0.1</v>
      </c>
      <c r="AC2" s="2">
        <v>0.3</v>
      </c>
      <c r="AD2" s="24" t="s">
        <v>78</v>
      </c>
      <c r="AE2" s="25"/>
      <c r="AF2" s="32" t="s">
        <v>70</v>
      </c>
      <c r="AG2" s="21"/>
      <c r="AH2" s="33"/>
    </row>
    <row r="3" spans="1:34" s="1" customFormat="1" x14ac:dyDescent="0.25">
      <c r="B3" s="12"/>
      <c r="C3" s="10">
        <v>5</v>
      </c>
      <c r="D3" s="10">
        <v>5</v>
      </c>
      <c r="E3" s="10"/>
      <c r="F3" s="10">
        <v>7</v>
      </c>
      <c r="G3" s="10">
        <v>3</v>
      </c>
      <c r="H3" s="10"/>
      <c r="I3" s="10">
        <v>3</v>
      </c>
      <c r="J3" s="10">
        <v>4</v>
      </c>
      <c r="K3" s="10">
        <v>3</v>
      </c>
      <c r="L3" s="10"/>
      <c r="M3" s="18"/>
      <c r="O3" s="1">
        <v>7</v>
      </c>
      <c r="P3" s="1">
        <v>3</v>
      </c>
      <c r="R3" s="1">
        <v>6</v>
      </c>
      <c r="S3" s="1">
        <v>4</v>
      </c>
      <c r="V3" s="1">
        <v>3</v>
      </c>
      <c r="W3" s="1">
        <v>3</v>
      </c>
      <c r="X3" s="1">
        <v>3</v>
      </c>
      <c r="Y3" s="1">
        <v>7</v>
      </c>
      <c r="Z3" s="1">
        <v>3</v>
      </c>
      <c r="AA3" s="1">
        <v>3</v>
      </c>
      <c r="AB3" s="1">
        <v>7</v>
      </c>
      <c r="AD3" s="24"/>
      <c r="AE3" s="25"/>
      <c r="AF3" s="32"/>
      <c r="AG3" s="21"/>
      <c r="AH3" s="33"/>
    </row>
    <row r="4" spans="1:34" x14ac:dyDescent="0.25">
      <c r="A4" t="str">
        <f>'BASE DE DATOS'!A2</f>
        <v>ALF_01</v>
      </c>
      <c r="B4" s="15">
        <f>(calculos!$B$2*'BASE DE DATOS'!F2)/10</f>
        <v>0.12</v>
      </c>
      <c r="C4" s="16">
        <f>IF('BASE DE DATOS'!E2=2,1,IF('BASE DE DATOS'!G2&gt;0,5,3))</f>
        <v>1</v>
      </c>
      <c r="D4" s="16">
        <f>IF('BASE DE DATOS'!I2&lt;6,2,IF('BASE DE DATOS'!I2&lt;50,4,5))</f>
        <v>4</v>
      </c>
      <c r="E4" s="16">
        <f>(((C4+D4)/($C$3+$D$3))*$E$2)</f>
        <v>0.15</v>
      </c>
      <c r="F4" s="16">
        <f>IF('BASE DE DATOS'!P2&lt;1,3,IF('BASE DE DATOS'!P2&lt;5,5,7))</f>
        <v>3</v>
      </c>
      <c r="G4" s="16">
        <f>IF('BASE DE DATOS'!Y2&lt;1,1,IF('BASE DE DATOS'!Y2&lt;5,2,3))</f>
        <v>1</v>
      </c>
      <c r="H4" s="16">
        <f>((F4+G4)/($F$3+$G$3)*$H$2)</f>
        <v>4.0000000000000008E-2</v>
      </c>
      <c r="I4" s="16">
        <f>IF('BASE DE DATOS'!Z2&lt;4,1,IF('BASE DE DATOS'!Z2&lt;9,2,3))</f>
        <v>2</v>
      </c>
      <c r="J4" s="16">
        <f>IF('BASE DE DATOS'!AA2&lt;4,1,IF('BASE DE DATOS'!AA2&lt;9,3,4))</f>
        <v>1</v>
      </c>
      <c r="K4" s="16">
        <f>IF('BASE DE DATOS'!AB2&lt;4,1,IF('BASE DE DATOS'!AB2&lt;9,2,3))</f>
        <v>1</v>
      </c>
      <c r="L4" s="16">
        <f>((I4+J4+K4)/($I$3+$J$3+$K$3))*$L$2</f>
        <v>0.12</v>
      </c>
      <c r="M4" s="19">
        <f t="shared" ref="M4:M9" si="0">L4+H4+E4+B4</f>
        <v>0.43</v>
      </c>
      <c r="N4" s="15">
        <f>('BASE DE DATOS'!AC2/'BASE DE DATOS'!$AC$7)*$N$2</f>
        <v>0.2</v>
      </c>
      <c r="O4" s="16">
        <f>'BASE DE DATOS'!AD2</f>
        <v>7</v>
      </c>
      <c r="P4" s="16">
        <f>'BASE DE DATOS'!AE2</f>
        <v>2</v>
      </c>
      <c r="Q4" s="16">
        <f t="shared" ref="Q4:Q6" si="1">((O4+P4)/($O$3+$P$3))*$Q$2</f>
        <v>9.0000000000000011E-2</v>
      </c>
      <c r="R4" s="16">
        <f>'BASE DE DATOS'!AF2</f>
        <v>6</v>
      </c>
      <c r="S4" s="16">
        <f>'BASE DE DATOS'!AG2</f>
        <v>4</v>
      </c>
      <c r="T4" s="16">
        <f t="shared" ref="T4:T6" si="2">((R4+S4)/($R$3+$S$3))*$T$2</f>
        <v>0.3</v>
      </c>
      <c r="U4">
        <f>('BASE DE DATOS'!AH2/'BASE DE DATOS'!$AH$7)*$U$2</f>
        <v>0.1</v>
      </c>
      <c r="V4" s="16">
        <f>'BASE DE DATOS'!AI2</f>
        <v>2</v>
      </c>
      <c r="W4" s="16">
        <f>'BASE DE DATOS'!AJ2</f>
        <v>2</v>
      </c>
      <c r="X4" s="16">
        <f>'BASE DE DATOS'!AK2</f>
        <v>2</v>
      </c>
      <c r="Y4" s="16">
        <f>IF('BASE DE DATOS'!AL2&lt;2,3,IF('BASE DE DATOS'!AL2&lt;3,5,7))</f>
        <v>7</v>
      </c>
      <c r="Z4" s="16">
        <f>'BASE DE DATOS'!AM2</f>
        <v>2</v>
      </c>
      <c r="AA4" s="16">
        <f>'BASE DE DATOS'!AN2</f>
        <v>2</v>
      </c>
      <c r="AB4" s="16">
        <f>IF('BASE DE DATOS'!AO2&lt;2,3,IF('BASE DE DATOS'!AO2&lt;3,5,7))</f>
        <v>7</v>
      </c>
      <c r="AC4" s="16">
        <f t="shared" ref="AC4:AC6" si="3">((V4+W4+X4+Y4+Z4+AA4+AB4)/29)*$AC$2</f>
        <v>0.24827586206896551</v>
      </c>
      <c r="AD4" s="26">
        <f t="shared" ref="AD4:AD9" si="4">AC4+U4+T4+Q4+N4</f>
        <v>0.93827586206896552</v>
      </c>
      <c r="AE4" s="25" t="str">
        <f>IF(AD4&gt;=0.7832,"Rentable",IF(AD4&gt;=0.5661,"Estable","Pobre"))</f>
        <v>Rentable</v>
      </c>
      <c r="AF4" s="34">
        <f t="shared" ref="AF4:AF9" si="5">M4</f>
        <v>0.43</v>
      </c>
      <c r="AG4" s="21" t="str">
        <f t="shared" ref="AG4:AG8" si="6">IF(AF4&gt;=0.7819,"Reubicación",IF(AF4&gt;=0.5634,"Rediseño","Mantenimiento"))</f>
        <v>Mantenimiento</v>
      </c>
      <c r="AH4" s="33"/>
    </row>
    <row r="5" spans="1:34" x14ac:dyDescent="0.25">
      <c r="A5" t="str">
        <f>'BASE DE DATOS'!A3</f>
        <v>PUR_05</v>
      </c>
      <c r="B5" s="15">
        <f>(calculos!$B$2*'BASE DE DATOS'!F3)/10</f>
        <v>0.12</v>
      </c>
      <c r="C5" s="16">
        <f>IF('BASE DE DATOS'!E3=2,1,IF('BASE DE DATOS'!G3&gt;0,5,3))</f>
        <v>1</v>
      </c>
      <c r="D5" s="16">
        <f>IF('BASE DE DATOS'!I3&lt;6,2,IF('BASE DE DATOS'!I3&lt;50,4,5))</f>
        <v>2</v>
      </c>
      <c r="E5" s="16">
        <f t="shared" ref="E5:E9" si="7">(((C5+D5)/($C$3+$D$3))*$E$2)</f>
        <v>0.09</v>
      </c>
      <c r="F5" s="16">
        <f>IF('BASE DE DATOS'!P3&lt;1,3,IF('BASE DE DATOS'!P3&lt;5,5,7))</f>
        <v>3</v>
      </c>
      <c r="G5" s="16">
        <f>IF('BASE DE DATOS'!Y3&lt;1,1,IF('BASE DE DATOS'!Y3&lt;5,2,3))</f>
        <v>2</v>
      </c>
      <c r="H5" s="16">
        <f t="shared" ref="H5:H9" si="8">((F5+G5)/($F$3+$G$3)*$H$2)</f>
        <v>0.05</v>
      </c>
      <c r="I5" s="16">
        <f>IF('BASE DE DATOS'!Z3&lt;4,1,IF('BASE DE DATOS'!Z3&lt;9,2,3))</f>
        <v>1</v>
      </c>
      <c r="J5" s="16">
        <f>IF('BASE DE DATOS'!AA3&lt;4,1,IF('BASE DE DATOS'!AA3&lt;9,3,4))</f>
        <v>1</v>
      </c>
      <c r="K5" s="16">
        <f>IF('BASE DE DATOS'!AB3&lt;4,1,IF('BASE DE DATOS'!AB3&lt;9,2,3))</f>
        <v>1</v>
      </c>
      <c r="L5" s="16">
        <f t="shared" ref="L5:L9" si="9">((I5+J5+K5)/($I$3+$J$3+$K$3))*$L$2</f>
        <v>0.09</v>
      </c>
      <c r="M5" s="19">
        <f t="shared" si="0"/>
        <v>0.35</v>
      </c>
      <c r="N5" s="15">
        <f>('BASE DE DATOS'!AC3/'BASE DE DATOS'!$AC$7)*$N$2</f>
        <v>8.0000000000000016E-2</v>
      </c>
      <c r="O5" s="16">
        <f>'BASE DE DATOS'!AD3</f>
        <v>1</v>
      </c>
      <c r="P5" s="16">
        <f>'BASE DE DATOS'!AE3</f>
        <v>1</v>
      </c>
      <c r="Q5" s="16">
        <f t="shared" si="1"/>
        <v>2.0000000000000004E-2</v>
      </c>
      <c r="R5" s="16">
        <f>'BASE DE DATOS'!AF3</f>
        <v>6</v>
      </c>
      <c r="S5" s="16">
        <f>'BASE DE DATOS'!AG3</f>
        <v>4</v>
      </c>
      <c r="T5" s="16">
        <f t="shared" si="2"/>
        <v>0.3</v>
      </c>
      <c r="U5">
        <f>('BASE DE DATOS'!AH3/'BASE DE DATOS'!$AH$7)*$U$2</f>
        <v>0.1</v>
      </c>
      <c r="V5" s="16">
        <f>'BASE DE DATOS'!AI3</f>
        <v>2</v>
      </c>
      <c r="W5" s="16">
        <f>'BASE DE DATOS'!AJ3</f>
        <v>2</v>
      </c>
      <c r="X5" s="16">
        <f>'BASE DE DATOS'!AK3</f>
        <v>1</v>
      </c>
      <c r="Y5" s="16">
        <f>IF('BASE DE DATOS'!AL3&lt;2,3,IF('BASE DE DATOS'!AL3&lt;3,5,7))</f>
        <v>7</v>
      </c>
      <c r="Z5" s="16">
        <f>'BASE DE DATOS'!AM3</f>
        <v>2</v>
      </c>
      <c r="AA5" s="16">
        <f>'BASE DE DATOS'!AN3</f>
        <v>1</v>
      </c>
      <c r="AB5" s="16">
        <f>IF('BASE DE DATOS'!AO3&lt;2,3,IF('BASE DE DATOS'!AO3&lt;3,5,7))</f>
        <v>7</v>
      </c>
      <c r="AC5" s="16">
        <f t="shared" si="3"/>
        <v>0.22758620689655171</v>
      </c>
      <c r="AD5" s="26">
        <f t="shared" si="4"/>
        <v>0.72758620689655173</v>
      </c>
      <c r="AE5" s="25" t="str">
        <f t="shared" ref="AE5:AE9" si="10">IF(AD5&gt;=0.7832,"Rentable",IF(AD5&gt;=0.5661,"Estable","Pobre"))</f>
        <v>Estable</v>
      </c>
      <c r="AF5" s="34">
        <f t="shared" si="5"/>
        <v>0.35</v>
      </c>
      <c r="AG5" s="21" t="str">
        <f t="shared" si="6"/>
        <v>Mantenimiento</v>
      </c>
      <c r="AH5" s="33"/>
    </row>
    <row r="6" spans="1:34" x14ac:dyDescent="0.25">
      <c r="A6" t="str">
        <f>'BASE DE DATOS'!A4</f>
        <v>PUR_06</v>
      </c>
      <c r="B6" s="15">
        <f>(calculos!$B$2*'BASE DE DATOS'!F4)/10</f>
        <v>0.21000000000000002</v>
      </c>
      <c r="C6" s="16">
        <f>IF('BASE DE DATOS'!E4=2,1,IF('BASE DE DATOS'!G4&gt;0,5,3))</f>
        <v>3</v>
      </c>
      <c r="D6" s="16">
        <f>IF('BASE DE DATOS'!I4&lt;6,2,IF('BASE DE DATOS'!I4&lt;50,4,5))</f>
        <v>5</v>
      </c>
      <c r="E6" s="16">
        <f t="shared" si="7"/>
        <v>0.24</v>
      </c>
      <c r="F6" s="16">
        <f>IF('BASE DE DATOS'!P4&lt;1,3,IF('BASE DE DATOS'!P4&lt;5,5,7))</f>
        <v>5</v>
      </c>
      <c r="G6" s="16">
        <f>IF('BASE DE DATOS'!Y4&lt;1,1,IF('BASE DE DATOS'!Y4&lt;5,2,3))</f>
        <v>1</v>
      </c>
      <c r="H6" s="16">
        <f t="shared" si="8"/>
        <v>0.06</v>
      </c>
      <c r="I6" s="16">
        <f>IF('BASE DE DATOS'!Z4&lt;4,1,IF('BASE DE DATOS'!Z4&lt;9,2,3))</f>
        <v>1</v>
      </c>
      <c r="J6" s="16">
        <f>IF('BASE DE DATOS'!AA4&lt;4,1,IF('BASE DE DATOS'!AA4&lt;9,3,4))</f>
        <v>4</v>
      </c>
      <c r="K6" s="16">
        <f>IF('BASE DE DATOS'!AB4&lt;4,1,IF('BASE DE DATOS'!AB4&lt;9,2,3))</f>
        <v>1</v>
      </c>
      <c r="L6" s="16">
        <f t="shared" si="9"/>
        <v>0.18</v>
      </c>
      <c r="M6" s="19">
        <f t="shared" si="0"/>
        <v>0.69</v>
      </c>
      <c r="N6" s="15">
        <f>('BASE DE DATOS'!AC4/'BASE DE DATOS'!$AC$7)*$N$2</f>
        <v>8.0000000000000016E-2</v>
      </c>
      <c r="O6" s="16">
        <f>'BASE DE DATOS'!AD4</f>
        <v>7</v>
      </c>
      <c r="P6" s="16">
        <f>'BASE DE DATOS'!AE4</f>
        <v>2</v>
      </c>
      <c r="Q6" s="16">
        <f t="shared" si="1"/>
        <v>9.0000000000000011E-2</v>
      </c>
      <c r="R6" s="16">
        <f>'BASE DE DATOS'!AF4</f>
        <v>6</v>
      </c>
      <c r="S6" s="16">
        <f>'BASE DE DATOS'!AG4</f>
        <v>4</v>
      </c>
      <c r="T6" s="16">
        <f t="shared" si="2"/>
        <v>0.3</v>
      </c>
      <c r="U6">
        <f>('BASE DE DATOS'!AH4/'BASE DE DATOS'!$AH$7)*$U$2</f>
        <v>0.1</v>
      </c>
      <c r="V6" s="16">
        <f>'BASE DE DATOS'!AI4</f>
        <v>3</v>
      </c>
      <c r="W6" s="16">
        <f>'BASE DE DATOS'!AJ4</f>
        <v>3</v>
      </c>
      <c r="X6" s="16">
        <f>'BASE DE DATOS'!AK4</f>
        <v>1</v>
      </c>
      <c r="Y6" s="16">
        <f>IF('BASE DE DATOS'!AL4&lt;2,3,IF('BASE DE DATOS'!AL4&lt;3,5,7))</f>
        <v>7</v>
      </c>
      <c r="Z6" s="16">
        <f>'BASE DE DATOS'!AM4</f>
        <v>1</v>
      </c>
      <c r="AA6" s="16">
        <f>'BASE DE DATOS'!AN4</f>
        <v>2</v>
      </c>
      <c r="AB6" s="16">
        <f>IF('BASE DE DATOS'!AO4&lt;2,3,IF('BASE DE DATOS'!AO4&lt;3,5,7))</f>
        <v>7</v>
      </c>
      <c r="AC6" s="16">
        <f t="shared" si="3"/>
        <v>0.24827586206896551</v>
      </c>
      <c r="AD6" s="26">
        <f t="shared" si="4"/>
        <v>0.81827586206896541</v>
      </c>
      <c r="AE6" s="25" t="str">
        <f t="shared" si="10"/>
        <v>Rentable</v>
      </c>
      <c r="AF6" s="34">
        <f t="shared" si="5"/>
        <v>0.69</v>
      </c>
      <c r="AG6" s="21" t="str">
        <f t="shared" si="6"/>
        <v>Rediseño</v>
      </c>
      <c r="AH6" s="33"/>
    </row>
    <row r="7" spans="1:34" ht="15.75" thickBot="1" x14ac:dyDescent="0.3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9"/>
      <c r="N7" s="15"/>
      <c r="O7" s="16"/>
      <c r="P7" s="16"/>
      <c r="Q7" s="16"/>
      <c r="R7" s="16"/>
      <c r="S7" s="16"/>
      <c r="T7" s="16"/>
      <c r="V7" s="16"/>
      <c r="W7" s="16"/>
      <c r="X7" s="16"/>
      <c r="Y7" s="16"/>
      <c r="Z7" s="16"/>
      <c r="AA7" s="16"/>
      <c r="AB7" s="16"/>
      <c r="AC7" s="16"/>
      <c r="AD7" s="26"/>
      <c r="AE7" s="25"/>
      <c r="AF7" s="34"/>
      <c r="AG7" s="21"/>
      <c r="AH7" s="33"/>
    </row>
    <row r="8" spans="1:34" x14ac:dyDescent="0.25">
      <c r="A8" s="7" t="s">
        <v>45</v>
      </c>
      <c r="B8" s="40">
        <f>(calculos!$B$2*'BASE DE DATOS'!F6)/10</f>
        <v>0.3</v>
      </c>
      <c r="C8" s="41">
        <f>IF('BASE DE DATOS'!E6=2,1,IF('BASE DE DATOS'!G6&gt;0,5,3))</f>
        <v>5</v>
      </c>
      <c r="D8" s="41">
        <f>IF('BASE DE DATOS'!I6&lt;6,2,IF('BASE DE DATOS'!I6&lt;50,4,5))</f>
        <v>5</v>
      </c>
      <c r="E8" s="41">
        <f t="shared" si="7"/>
        <v>0.3</v>
      </c>
      <c r="F8" s="41">
        <f>IF('BASE DE DATOS'!P6&lt;1,3,IF('BASE DE DATOS'!P6&lt;5,5,7))</f>
        <v>7</v>
      </c>
      <c r="G8" s="41">
        <f>IF('BASE DE DATOS'!Y6&lt;1,1,IF('BASE DE DATOS'!Y6&lt;5,2,3))</f>
        <v>3</v>
      </c>
      <c r="H8" s="41">
        <f t="shared" si="8"/>
        <v>0.1</v>
      </c>
      <c r="I8" s="41">
        <f>IF('BASE DE DATOS'!Z6&lt;4,1,IF('BASE DE DATOS'!Z6&lt;9,2,3))</f>
        <v>3</v>
      </c>
      <c r="J8" s="41">
        <f>IF('BASE DE DATOS'!AA6&lt;4,1,IF('BASE DE DATOS'!AA6&lt;9,3,4))</f>
        <v>4</v>
      </c>
      <c r="K8" s="41">
        <f>IF('BASE DE DATOS'!AB6&lt;4,1,IF('BASE DE DATOS'!AB6&lt;9,2,3))</f>
        <v>3</v>
      </c>
      <c r="L8" s="41">
        <f t="shared" si="9"/>
        <v>0.3</v>
      </c>
      <c r="M8" s="42">
        <f t="shared" si="0"/>
        <v>1</v>
      </c>
      <c r="N8" s="40">
        <f>('BASE DE DATOS'!AC6/'BASE DE DATOS'!$AC$7)*$N$2</f>
        <v>8.0000000000000016E-2</v>
      </c>
      <c r="O8" s="41">
        <f>'BASE DE DATOS'!AD6</f>
        <v>1</v>
      </c>
      <c r="P8" s="41">
        <f>'BASE DE DATOS'!AE6</f>
        <v>1</v>
      </c>
      <c r="Q8" s="41">
        <f t="shared" ref="Q8" si="11">((O8+P8)/($O$3+$P$3))*$Q$2</f>
        <v>2.0000000000000004E-2</v>
      </c>
      <c r="R8" s="41">
        <f>'BASE DE DATOS'!AF6</f>
        <v>2</v>
      </c>
      <c r="S8" s="41">
        <f>'BASE DE DATOS'!AG6</f>
        <v>1</v>
      </c>
      <c r="T8" s="41">
        <f>((R8+S8)/($R$3+$S$3))*$T$2</f>
        <v>0.09</v>
      </c>
      <c r="U8" s="8">
        <f>('BASE DE DATOS'!AH6/'BASE DE DATOS'!$AH$7)*$U$2</f>
        <v>4.0000000000000008E-2</v>
      </c>
      <c r="V8" s="41">
        <f>'BASE DE DATOS'!AI6</f>
        <v>1</v>
      </c>
      <c r="W8" s="41">
        <f>'BASE DE DATOS'!AJ6</f>
        <v>1</v>
      </c>
      <c r="X8" s="41">
        <f>'BASE DE DATOS'!AK6</f>
        <v>1</v>
      </c>
      <c r="Y8" s="41">
        <f>'BASE DE DATOS'!AL6</f>
        <v>3</v>
      </c>
      <c r="Z8" s="41">
        <f>'BASE DE DATOS'!AM6</f>
        <v>1</v>
      </c>
      <c r="AA8" s="41">
        <f>'BASE DE DATOS'!AN6</f>
        <v>1</v>
      </c>
      <c r="AB8" s="41">
        <f>'BASE DE DATOS'!AO6</f>
        <v>3</v>
      </c>
      <c r="AC8" s="41">
        <f t="shared" ref="AC8" si="12">((V8+W8+X8+Y8+Z8+AA8+AB8)/29)*$AC$2</f>
        <v>0.11379310344827585</v>
      </c>
      <c r="AD8" s="83">
        <f t="shared" si="4"/>
        <v>0.34379310344827585</v>
      </c>
      <c r="AE8" s="23" t="str">
        <f t="shared" si="10"/>
        <v>Pobre</v>
      </c>
      <c r="AF8" s="43">
        <f t="shared" si="5"/>
        <v>1</v>
      </c>
      <c r="AG8" s="30" t="str">
        <f t="shared" si="6"/>
        <v>Reubicación</v>
      </c>
      <c r="AH8" s="31"/>
    </row>
    <row r="9" spans="1:34" ht="15.75" thickBot="1" x14ac:dyDescent="0.3">
      <c r="A9" s="84" t="s">
        <v>46</v>
      </c>
      <c r="B9" s="85">
        <f>(calculos!$B$2*'BASE DE DATOS'!F7)/10</f>
        <v>0.12</v>
      </c>
      <c r="C9" s="86">
        <f>IF('BASE DE DATOS'!E7=2,1,IF('BASE DE DATOS'!G7&gt;0,5,3))</f>
        <v>1</v>
      </c>
      <c r="D9" s="86">
        <f>IF('BASE DE DATOS'!I7&lt;6,2,IF('BASE DE DATOS'!I7&lt;50,4,5))</f>
        <v>2</v>
      </c>
      <c r="E9" s="86">
        <f t="shared" si="7"/>
        <v>0.09</v>
      </c>
      <c r="F9" s="86">
        <f>IF('BASE DE DATOS'!P7&lt;1,3,IF('BASE DE DATOS'!P7&lt;5,5,7))</f>
        <v>3</v>
      </c>
      <c r="G9" s="86">
        <f>IF('BASE DE DATOS'!Y7&lt;1,1,IF('BASE DE DATOS'!Y7&lt;5,2,3))</f>
        <v>1</v>
      </c>
      <c r="H9" s="86">
        <f t="shared" si="8"/>
        <v>4.0000000000000008E-2</v>
      </c>
      <c r="I9" s="86">
        <f>IF('BASE DE DATOS'!Z7&lt;4,1,IF('BASE DE DATOS'!Z7&lt;9,2,3))</f>
        <v>1</v>
      </c>
      <c r="J9" s="86">
        <f>IF('BASE DE DATOS'!AA7&lt;4,1,IF('BASE DE DATOS'!AA7&lt;9,3,4))</f>
        <v>1</v>
      </c>
      <c r="K9" s="86">
        <f>IF('BASE DE DATOS'!AB7&lt;4,1,IF('BASE DE DATOS'!AB7&lt;9,2,3))</f>
        <v>1</v>
      </c>
      <c r="L9" s="86">
        <f t="shared" si="9"/>
        <v>0.09</v>
      </c>
      <c r="M9" s="20">
        <f t="shared" si="0"/>
        <v>0.33999999999999997</v>
      </c>
      <c r="N9" s="85">
        <f>('BASE DE DATOS'!AC7/'BASE DE DATOS'!$AC$7)*$N$2</f>
        <v>0.2</v>
      </c>
      <c r="O9" s="86">
        <f>'BASE DE DATOS'!AD7</f>
        <v>7</v>
      </c>
      <c r="P9" s="86">
        <f>'BASE DE DATOS'!AE7</f>
        <v>3</v>
      </c>
      <c r="Q9" s="86">
        <f t="shared" ref="Q9" si="13">((O9+P9)/($O$3+$P$3))*$Q$2</f>
        <v>0.1</v>
      </c>
      <c r="R9" s="86">
        <f>'BASE DE DATOS'!AF7</f>
        <v>6</v>
      </c>
      <c r="S9" s="86">
        <f>'BASE DE DATOS'!AG7</f>
        <v>4</v>
      </c>
      <c r="T9" s="86">
        <f>((R9+S9)/($R$3+$S$3))*$T$2</f>
        <v>0.3</v>
      </c>
      <c r="U9" s="87">
        <f>('BASE DE DATOS'!AH7/'BASE DE DATOS'!$AH$7)*$U$2</f>
        <v>0.1</v>
      </c>
      <c r="V9" s="86">
        <f>'BASE DE DATOS'!AI7</f>
        <v>3</v>
      </c>
      <c r="W9" s="86">
        <f>'BASE DE DATOS'!AJ7</f>
        <v>3</v>
      </c>
      <c r="X9" s="86">
        <f>'BASE DE DATOS'!AK7</f>
        <v>3</v>
      </c>
      <c r="Y9" s="86">
        <f>IF('BASE DE DATOS'!AL7&lt;2,3,IF('BASE DE DATOS'!AL7&lt;3,5,7))</f>
        <v>7</v>
      </c>
      <c r="Z9" s="86">
        <f>'BASE DE DATOS'!AM7</f>
        <v>3</v>
      </c>
      <c r="AA9" s="86">
        <f>'BASE DE DATOS'!AN7</f>
        <v>3</v>
      </c>
      <c r="AB9" s="86">
        <f>IF('BASE DE DATOS'!AO7&lt;2,3,IF('BASE DE DATOS'!AO7&lt;3,5,7))</f>
        <v>7</v>
      </c>
      <c r="AC9" s="86">
        <f t="shared" ref="AC9" si="14">((V9+W9+X9+Y9+Z9+AA9+AB9)/29)*$AC$2</f>
        <v>0.3</v>
      </c>
      <c r="AD9" s="27">
        <f t="shared" si="4"/>
        <v>1</v>
      </c>
      <c r="AE9" s="28" t="str">
        <f t="shared" si="10"/>
        <v>Rentable</v>
      </c>
      <c r="AF9" s="35">
        <f t="shared" si="5"/>
        <v>0.33999999999999997</v>
      </c>
      <c r="AG9" s="36" t="str">
        <f>IF(AF9&gt;=0.7819,"Reubicación",IF(AF9&gt;=0.5634,"Rediseño","Mantenimiento"))</f>
        <v>Mantenimiento</v>
      </c>
      <c r="AH9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calculos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ARTURO</cp:lastModifiedBy>
  <dcterms:created xsi:type="dcterms:W3CDTF">2014-06-24T23:47:37Z</dcterms:created>
  <dcterms:modified xsi:type="dcterms:W3CDTF">2014-11-06T00:35:52Z</dcterms:modified>
</cp:coreProperties>
</file>